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showInkAnnotation="0"/>
  <mc:AlternateContent xmlns:mc="http://schemas.openxmlformats.org/markup-compatibility/2006">
    <mc:Choice Requires="x15">
      <x15ac:absPath xmlns:x15ac="http://schemas.microsoft.com/office/spreadsheetml/2010/11/ac" url="C:\xampp\htdocs\ITM\Documentos\Fraccion5\g\2019\"/>
    </mc:Choice>
  </mc:AlternateContent>
  <xr:revisionPtr revIDLastSave="0" documentId="13_ncr:1_{F91E247E-3221-42D4-9D50-74FED7795B7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ENERAL" sheetId="1" r:id="rId1"/>
    <sheet name="EVENTUAL" sheetId="2" r:id="rId2"/>
    <sheet name="COMUDE" sheetId="3" r:id="rId3"/>
  </sheets>
  <externalReferences>
    <externalReference r:id="rId4"/>
  </externalReferences>
  <definedNames>
    <definedName name="CuentaAbono">[1]Predeterminados!$E$2:$E$5</definedName>
  </definedNames>
  <calcPr calcId="191029"/>
</workbook>
</file>

<file path=xl/calcChain.xml><?xml version="1.0" encoding="utf-8"?>
<calcChain xmlns="http://schemas.openxmlformats.org/spreadsheetml/2006/main">
  <c r="O340" i="1" l="1"/>
  <c r="M340" i="1"/>
  <c r="K340" i="1"/>
  <c r="I340" i="1"/>
  <c r="H273" i="1"/>
  <c r="I273" i="1"/>
  <c r="K273" i="1"/>
  <c r="M273" i="1"/>
  <c r="N273" i="1"/>
  <c r="O273" i="1"/>
  <c r="I244" i="1"/>
  <c r="K244" i="1"/>
  <c r="M244" i="1"/>
  <c r="H230" i="1"/>
  <c r="H333" i="1" l="1"/>
  <c r="H331" i="1"/>
  <c r="H329" i="1"/>
  <c r="H315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9" i="1"/>
  <c r="H320" i="1"/>
  <c r="H321" i="1"/>
  <c r="H322" i="1"/>
  <c r="H323" i="1"/>
  <c r="H325" i="1"/>
  <c r="H326" i="1"/>
  <c r="H327" i="1"/>
  <c r="H328" i="1"/>
  <c r="H330" i="1"/>
  <c r="H332" i="1"/>
  <c r="H337" i="1"/>
  <c r="H293" i="1"/>
  <c r="H220" i="1"/>
  <c r="H217" i="1"/>
  <c r="H139" i="1"/>
  <c r="H130" i="1"/>
  <c r="H102" i="1"/>
  <c r="H101" i="1"/>
  <c r="H100" i="1"/>
  <c r="H99" i="1"/>
  <c r="H80" i="1"/>
  <c r="H78" i="1"/>
  <c r="H74" i="1"/>
  <c r="H49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6" i="1"/>
  <c r="H47" i="1"/>
  <c r="H48" i="1"/>
  <c r="H50" i="1"/>
  <c r="H51" i="1"/>
  <c r="H52" i="1"/>
  <c r="H53" i="1"/>
  <c r="H54" i="1"/>
  <c r="H55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5" i="1"/>
  <c r="H76" i="1"/>
  <c r="H77" i="1"/>
  <c r="H79" i="1"/>
  <c r="H81" i="1"/>
  <c r="H82" i="1"/>
  <c r="H83" i="1"/>
  <c r="H84" i="1"/>
  <c r="H85" i="1"/>
  <c r="H86" i="1"/>
  <c r="H87" i="1"/>
  <c r="H88" i="1"/>
  <c r="H91" i="1"/>
  <c r="H92" i="1"/>
  <c r="H93" i="1"/>
  <c r="H94" i="1"/>
  <c r="H95" i="1"/>
  <c r="H96" i="1"/>
  <c r="H97" i="1"/>
  <c r="H98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2" i="1"/>
  <c r="H133" i="1"/>
  <c r="H134" i="1"/>
  <c r="H135" i="1"/>
  <c r="H136" i="1"/>
  <c r="H137" i="1"/>
  <c r="H138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5" i="1"/>
  <c r="H207" i="1"/>
  <c r="H208" i="1"/>
  <c r="H209" i="1"/>
  <c r="H210" i="1"/>
  <c r="H211" i="1"/>
  <c r="H212" i="1"/>
  <c r="H213" i="1"/>
  <c r="H214" i="1"/>
  <c r="H215" i="1"/>
  <c r="H216" i="1"/>
  <c r="H218" i="1"/>
  <c r="H219" i="1"/>
  <c r="H221" i="1"/>
  <c r="H223" i="1"/>
  <c r="H224" i="1"/>
  <c r="H225" i="1"/>
  <c r="H226" i="1"/>
  <c r="H227" i="1"/>
  <c r="H228" i="1"/>
  <c r="H229" i="1"/>
  <c r="H231" i="1"/>
  <c r="H232" i="1"/>
  <c r="H234" i="1"/>
  <c r="H235" i="1"/>
  <c r="H236" i="1"/>
  <c r="H237" i="1"/>
  <c r="H238" i="1"/>
  <c r="H239" i="1"/>
  <c r="H240" i="1"/>
  <c r="H241" i="1"/>
  <c r="H242" i="1"/>
  <c r="H243" i="1"/>
  <c r="H25" i="1"/>
  <c r="H90" i="2"/>
  <c r="J90" i="2"/>
  <c r="L90" i="2"/>
  <c r="M90" i="2"/>
  <c r="G52" i="2"/>
  <c r="G51" i="2"/>
  <c r="G46" i="2"/>
  <c r="G45" i="2"/>
  <c r="G44" i="2"/>
  <c r="G43" i="2"/>
  <c r="G42" i="2"/>
  <c r="G41" i="2"/>
  <c r="G40" i="2"/>
  <c r="G39" i="2"/>
  <c r="G38" i="2"/>
  <c r="G37" i="2"/>
  <c r="G34" i="2"/>
  <c r="G31" i="2"/>
  <c r="G30" i="2"/>
  <c r="G29" i="2"/>
  <c r="G19" i="2"/>
  <c r="G15" i="2"/>
  <c r="G14" i="2"/>
  <c r="G12" i="2"/>
  <c r="G11" i="2"/>
  <c r="G9" i="2"/>
  <c r="G8" i="2"/>
  <c r="G5" i="2"/>
  <c r="G6" i="2"/>
  <c r="G7" i="2"/>
  <c r="G10" i="2"/>
  <c r="G13" i="2"/>
  <c r="G18" i="2"/>
  <c r="G20" i="2"/>
  <c r="G21" i="2"/>
  <c r="G22" i="2"/>
  <c r="G23" i="2"/>
  <c r="G24" i="2"/>
  <c r="G25" i="2"/>
  <c r="G26" i="2"/>
  <c r="G27" i="2"/>
  <c r="G28" i="2"/>
  <c r="G47" i="2"/>
  <c r="G4" i="2"/>
  <c r="G90" i="2" l="1"/>
  <c r="H244" i="1"/>
  <c r="H340" i="1"/>
  <c r="H11" i="3"/>
  <c r="J11" i="3"/>
  <c r="L11" i="3"/>
  <c r="M11" i="3"/>
  <c r="G5" i="3"/>
  <c r="G6" i="3"/>
  <c r="G7" i="3"/>
  <c r="G8" i="3"/>
  <c r="G9" i="3"/>
  <c r="G10" i="3"/>
  <c r="G4" i="3"/>
  <c r="O87" i="2"/>
  <c r="F87" i="2"/>
  <c r="I87" i="2" s="1"/>
  <c r="P87" i="2" s="1"/>
  <c r="O84" i="2"/>
  <c r="I84" i="2"/>
  <c r="F84" i="2"/>
  <c r="O74" i="2"/>
  <c r="F74" i="2"/>
  <c r="I74" i="2" s="1"/>
  <c r="P74" i="2" s="1"/>
  <c r="O72" i="2"/>
  <c r="O73" i="2"/>
  <c r="O75" i="2"/>
  <c r="O76" i="2"/>
  <c r="O77" i="2"/>
  <c r="O78" i="2"/>
  <c r="O79" i="2"/>
  <c r="O80" i="2"/>
  <c r="O81" i="2"/>
  <c r="O82" i="2"/>
  <c r="O83" i="2"/>
  <c r="O85" i="2"/>
  <c r="O86" i="2"/>
  <c r="O88" i="2"/>
  <c r="O89" i="2"/>
  <c r="I82" i="2"/>
  <c r="F72" i="2"/>
  <c r="I72" i="2" s="1"/>
  <c r="F73" i="2"/>
  <c r="I73" i="2" s="1"/>
  <c r="F75" i="2"/>
  <c r="I75" i="2" s="1"/>
  <c r="F76" i="2"/>
  <c r="I76" i="2" s="1"/>
  <c r="F77" i="2"/>
  <c r="I77" i="2" s="1"/>
  <c r="F78" i="2"/>
  <c r="I78" i="2" s="1"/>
  <c r="F79" i="2"/>
  <c r="I79" i="2" s="1"/>
  <c r="F80" i="2"/>
  <c r="I80" i="2" s="1"/>
  <c r="F81" i="2"/>
  <c r="I81" i="2" s="1"/>
  <c r="P81" i="2" s="1"/>
  <c r="F82" i="2"/>
  <c r="F83" i="2"/>
  <c r="I83" i="2" s="1"/>
  <c r="F85" i="2"/>
  <c r="I85" i="2" s="1"/>
  <c r="F86" i="2"/>
  <c r="I86" i="2" s="1"/>
  <c r="P86" i="2" s="1"/>
  <c r="F88" i="2"/>
  <c r="I88" i="2" s="1"/>
  <c r="F89" i="2"/>
  <c r="I89" i="2" s="1"/>
  <c r="O70" i="2"/>
  <c r="I70" i="2"/>
  <c r="F70" i="2"/>
  <c r="O68" i="2"/>
  <c r="F68" i="2"/>
  <c r="I68" i="2" s="1"/>
  <c r="P68" i="2" l="1"/>
  <c r="P76" i="2"/>
  <c r="G11" i="3"/>
  <c r="P78" i="2"/>
  <c r="P73" i="2"/>
  <c r="P85" i="2"/>
  <c r="P79" i="2"/>
  <c r="P75" i="2"/>
  <c r="P84" i="2"/>
  <c r="P89" i="2"/>
  <c r="P88" i="2"/>
  <c r="P83" i="2"/>
  <c r="P82" i="2"/>
  <c r="P80" i="2"/>
  <c r="P77" i="2"/>
  <c r="P72" i="2"/>
  <c r="P70" i="2"/>
  <c r="G320" i="1"/>
  <c r="L320" i="1" s="1"/>
  <c r="P320" i="1" s="1"/>
  <c r="O66" i="2"/>
  <c r="F66" i="2"/>
  <c r="I66" i="2" s="1"/>
  <c r="F67" i="2"/>
  <c r="I67" i="2" s="1"/>
  <c r="F69" i="2"/>
  <c r="I69" i="2" s="1"/>
  <c r="F71" i="2"/>
  <c r="I71" i="2" s="1"/>
  <c r="O63" i="2"/>
  <c r="O64" i="2"/>
  <c r="O65" i="2"/>
  <c r="O67" i="2"/>
  <c r="O69" i="2"/>
  <c r="O71" i="2"/>
  <c r="F65" i="2"/>
  <c r="I65" i="2" s="1"/>
  <c r="F64" i="2"/>
  <c r="I64" i="2" s="1"/>
  <c r="F63" i="2"/>
  <c r="I63" i="2" s="1"/>
  <c r="J320" i="1" l="1"/>
  <c r="P64" i="2"/>
  <c r="P63" i="2"/>
  <c r="P67" i="2"/>
  <c r="P69" i="2"/>
  <c r="P65" i="2"/>
  <c r="P66" i="2"/>
  <c r="Q320" i="1"/>
  <c r="P71" i="2"/>
  <c r="P331" i="1" l="1"/>
  <c r="G331" i="1"/>
  <c r="J331" i="1" s="1"/>
  <c r="Q331" i="1" s="1"/>
  <c r="G321" i="1"/>
  <c r="L321" i="1" s="1"/>
  <c r="P321" i="1" s="1"/>
  <c r="F28" i="2"/>
  <c r="K28" i="2" s="1"/>
  <c r="O28" i="2" s="1"/>
  <c r="F23" i="2"/>
  <c r="K23" i="2" s="1"/>
  <c r="O23" i="2" s="1"/>
  <c r="P333" i="1"/>
  <c r="G333" i="1"/>
  <c r="J333" i="1" s="1"/>
  <c r="F27" i="2"/>
  <c r="K27" i="2" s="1"/>
  <c r="O27" i="2" s="1"/>
  <c r="F26" i="2"/>
  <c r="I26" i="2" s="1"/>
  <c r="F25" i="2"/>
  <c r="I25" i="2" s="1"/>
  <c r="F22" i="2"/>
  <c r="K22" i="2" s="1"/>
  <c r="O22" i="2" s="1"/>
  <c r="F21" i="2"/>
  <c r="K21" i="2" s="1"/>
  <c r="O21" i="2" s="1"/>
  <c r="F20" i="2"/>
  <c r="K20" i="2" s="1"/>
  <c r="O20" i="2" s="1"/>
  <c r="J321" i="1" l="1"/>
  <c r="Q333" i="1"/>
  <c r="Q321" i="1"/>
  <c r="K26" i="2"/>
  <c r="O26" i="2" s="1"/>
  <c r="P26" i="2" s="1"/>
  <c r="I28" i="2"/>
  <c r="P28" i="2" s="1"/>
  <c r="I23" i="2"/>
  <c r="P23" i="2" s="1"/>
  <c r="I27" i="2"/>
  <c r="P27" i="2" s="1"/>
  <c r="K25" i="2"/>
  <c r="O25" i="2" s="1"/>
  <c r="P25" i="2" s="1"/>
  <c r="I22" i="2"/>
  <c r="P22" i="2" s="1"/>
  <c r="I21" i="2"/>
  <c r="P21" i="2" s="1"/>
  <c r="I20" i="2"/>
  <c r="P20" i="2" s="1"/>
  <c r="O62" i="2" l="1"/>
  <c r="F62" i="2"/>
  <c r="I62" i="2" s="1"/>
  <c r="O61" i="2"/>
  <c r="F61" i="2"/>
  <c r="O60" i="2"/>
  <c r="F60" i="2"/>
  <c r="I60" i="2" s="1"/>
  <c r="I61" i="2" l="1"/>
  <c r="P61" i="2" s="1"/>
  <c r="P60" i="2"/>
  <c r="P62" i="2"/>
  <c r="F59" i="2" l="1"/>
  <c r="I59" i="2" s="1"/>
  <c r="O59" i="2"/>
  <c r="P59" i="2" l="1"/>
  <c r="H14" i="1" l="1"/>
  <c r="I14" i="1"/>
  <c r="I279" i="1" s="1"/>
  <c r="I346" i="1" s="1"/>
  <c r="K14" i="1"/>
  <c r="K279" i="1" s="1"/>
  <c r="K346" i="1" s="1"/>
  <c r="L14" i="1"/>
  <c r="M14" i="1"/>
  <c r="N14" i="1"/>
  <c r="M279" i="1" l="1"/>
  <c r="M346" i="1" s="1"/>
  <c r="H279" i="1"/>
  <c r="H346" i="1" s="1"/>
  <c r="O58" i="2"/>
  <c r="F58" i="2"/>
  <c r="I58" i="2" s="1"/>
  <c r="O57" i="2"/>
  <c r="F57" i="2"/>
  <c r="I57" i="2" s="1"/>
  <c r="P58" i="2" l="1"/>
  <c r="P57" i="2"/>
  <c r="F56" i="2" l="1"/>
  <c r="I56" i="2" s="1"/>
  <c r="O56" i="2"/>
  <c r="F55" i="2"/>
  <c r="F54" i="2"/>
  <c r="F53" i="2"/>
  <c r="I53" i="2" s="1"/>
  <c r="I55" i="2" l="1"/>
  <c r="K55" i="2"/>
  <c r="O55" i="2" s="1"/>
  <c r="I54" i="2"/>
  <c r="K54" i="2"/>
  <c r="O54" i="2" s="1"/>
  <c r="P56" i="2"/>
  <c r="P272" i="1"/>
  <c r="G272" i="1"/>
  <c r="J272" i="1" s="1"/>
  <c r="O53" i="2"/>
  <c r="P53" i="2" s="1"/>
  <c r="P55" i="2" l="1"/>
  <c r="P54" i="2"/>
  <c r="Q272" i="1"/>
  <c r="O52" i="2" l="1"/>
  <c r="F52" i="2"/>
  <c r="I52" i="2" s="1"/>
  <c r="P52" i="2" l="1"/>
  <c r="O31" i="2"/>
  <c r="F31" i="2"/>
  <c r="I31" i="2" s="1"/>
  <c r="O51" i="2"/>
  <c r="F51" i="2"/>
  <c r="I51" i="2" s="1"/>
  <c r="P51" i="2" l="1"/>
  <c r="P31" i="2"/>
  <c r="O50" i="2" l="1"/>
  <c r="F50" i="2"/>
  <c r="I50" i="2" s="1"/>
  <c r="O45" i="2"/>
  <c r="F45" i="2"/>
  <c r="O49" i="2"/>
  <c r="F49" i="2"/>
  <c r="I49" i="2" s="1"/>
  <c r="O48" i="2"/>
  <c r="F48" i="2"/>
  <c r="I48" i="2" s="1"/>
  <c r="P50" i="2" l="1"/>
  <c r="I45" i="2"/>
  <c r="P49" i="2"/>
  <c r="P48" i="2"/>
  <c r="P45" i="2" l="1"/>
  <c r="P265" i="1" l="1"/>
  <c r="P266" i="1"/>
  <c r="O47" i="2" l="1"/>
  <c r="F47" i="2"/>
  <c r="I47" i="2" s="1"/>
  <c r="O46" i="2"/>
  <c r="F46" i="2"/>
  <c r="I46" i="2" s="1"/>
  <c r="P46" i="2" l="1"/>
  <c r="P47" i="2"/>
  <c r="P24" i="1" l="1"/>
  <c r="G24" i="1"/>
  <c r="J24" i="1" s="1"/>
  <c r="Q24" i="1" l="1"/>
  <c r="F10" i="2" l="1"/>
  <c r="I10" i="2" l="1"/>
  <c r="K10" i="2"/>
  <c r="O10" i="2" s="1"/>
  <c r="O44" i="2"/>
  <c r="F44" i="2"/>
  <c r="I44" i="2" s="1"/>
  <c r="P10" i="2" l="1"/>
  <c r="P44" i="2"/>
  <c r="F18" i="2" l="1"/>
  <c r="N18" i="2" s="1"/>
  <c r="O18" i="2" s="1"/>
  <c r="G315" i="1"/>
  <c r="L315" i="1" s="1"/>
  <c r="I18" i="2" l="1"/>
  <c r="P18" i="2" s="1"/>
  <c r="O43" i="2" l="1"/>
  <c r="F43" i="2"/>
  <c r="I43" i="2" s="1"/>
  <c r="P43" i="2" l="1"/>
  <c r="O5" i="2"/>
  <c r="O8" i="2"/>
  <c r="O11" i="2"/>
  <c r="O12" i="2"/>
  <c r="O13" i="2"/>
  <c r="O14" i="2"/>
  <c r="O15" i="2"/>
  <c r="O16" i="2"/>
  <c r="O17" i="2"/>
  <c r="O19" i="2"/>
  <c r="O30" i="2"/>
  <c r="O29" i="2"/>
  <c r="O32" i="2"/>
  <c r="O33" i="2"/>
  <c r="O34" i="2"/>
  <c r="O35" i="2"/>
  <c r="O36" i="2"/>
  <c r="O37" i="2"/>
  <c r="O38" i="2"/>
  <c r="O39" i="2"/>
  <c r="O40" i="2"/>
  <c r="O41" i="2"/>
  <c r="O42" i="2"/>
  <c r="F42" i="2" l="1"/>
  <c r="I42" i="2" s="1"/>
  <c r="P100" i="1"/>
  <c r="G100" i="1"/>
  <c r="J100" i="1" s="1"/>
  <c r="Q100" i="1" l="1"/>
  <c r="P42" i="2"/>
  <c r="F41" i="2" l="1"/>
  <c r="I41" i="2" s="1"/>
  <c r="P41" i="2" l="1"/>
  <c r="F35" i="2"/>
  <c r="I35" i="2" s="1"/>
  <c r="F36" i="2"/>
  <c r="I36" i="2" s="1"/>
  <c r="P36" i="2" l="1"/>
  <c r="P35" i="2"/>
  <c r="F34" i="2"/>
  <c r="I34" i="2" s="1"/>
  <c r="P34" i="2" l="1"/>
  <c r="F40" i="2"/>
  <c r="I40" i="2" s="1"/>
  <c r="P40" i="2" s="1"/>
  <c r="G313" i="1" l="1"/>
  <c r="J313" i="1" s="1"/>
  <c r="G314" i="1"/>
  <c r="J314" i="1" s="1"/>
  <c r="P314" i="1"/>
  <c r="F29" i="2"/>
  <c r="I29" i="2" s="1"/>
  <c r="F32" i="2"/>
  <c r="I32" i="2" s="1"/>
  <c r="F33" i="2"/>
  <c r="I33" i="2" s="1"/>
  <c r="F37" i="2"/>
  <c r="I37" i="2" s="1"/>
  <c r="F38" i="2"/>
  <c r="F39" i="2"/>
  <c r="F11" i="2"/>
  <c r="I38" i="2" l="1"/>
  <c r="L313" i="1"/>
  <c r="P313" i="1" s="1"/>
  <c r="Q313" i="1" s="1"/>
  <c r="I39" i="2"/>
  <c r="P39" i="2" s="1"/>
  <c r="P32" i="2"/>
  <c r="P37" i="2"/>
  <c r="P29" i="2"/>
  <c r="P38" i="2"/>
  <c r="P33" i="2"/>
  <c r="Q314" i="1"/>
  <c r="F19" i="2"/>
  <c r="I19" i="2" s="1"/>
  <c r="F30" i="2"/>
  <c r="I30" i="2" s="1"/>
  <c r="P30" i="2" l="1"/>
  <c r="P19" i="2"/>
  <c r="O5" i="3" l="1"/>
  <c r="O6" i="3"/>
  <c r="O8" i="3"/>
  <c r="O10" i="3"/>
  <c r="O4" i="2"/>
  <c r="P307" i="1"/>
  <c r="P317" i="1"/>
  <c r="P318" i="1"/>
  <c r="P332" i="1"/>
  <c r="P328" i="1"/>
  <c r="P338" i="1"/>
  <c r="P339" i="1"/>
  <c r="K348" i="1"/>
  <c r="I351" i="1"/>
  <c r="P257" i="1"/>
  <c r="P258" i="1"/>
  <c r="P259" i="1"/>
  <c r="P260" i="1"/>
  <c r="P263" i="1"/>
  <c r="P269" i="1"/>
  <c r="P270" i="1"/>
  <c r="P256" i="1"/>
  <c r="P29" i="1" l="1"/>
  <c r="P35" i="1"/>
  <c r="P40" i="1"/>
  <c r="P44" i="1"/>
  <c r="P45" i="1"/>
  <c r="P52" i="1"/>
  <c r="P56" i="1"/>
  <c r="P57" i="1"/>
  <c r="P58" i="1"/>
  <c r="P59" i="1"/>
  <c r="P60" i="1"/>
  <c r="P61" i="1"/>
  <c r="P62" i="1"/>
  <c r="P63" i="1"/>
  <c r="P66" i="1"/>
  <c r="P67" i="1"/>
  <c r="P68" i="1"/>
  <c r="P69" i="1"/>
  <c r="P70" i="1"/>
  <c r="P77" i="1"/>
  <c r="P79" i="1"/>
  <c r="P80" i="1"/>
  <c r="P81" i="1"/>
  <c r="P82" i="1"/>
  <c r="P83" i="1"/>
  <c r="P84" i="1"/>
  <c r="P89" i="1"/>
  <c r="P90" i="1"/>
  <c r="P92" i="1"/>
  <c r="P97" i="1"/>
  <c r="P98" i="1"/>
  <c r="P99" i="1"/>
  <c r="P102" i="1"/>
  <c r="P103" i="1"/>
  <c r="P109" i="1"/>
  <c r="P112" i="1"/>
  <c r="P113" i="1"/>
  <c r="P115" i="1"/>
  <c r="P116" i="1"/>
  <c r="P120" i="1"/>
  <c r="P121" i="1"/>
  <c r="P130" i="1"/>
  <c r="P136" i="1"/>
  <c r="P138" i="1"/>
  <c r="P144" i="1"/>
  <c r="P155" i="1"/>
  <c r="P161" i="1"/>
  <c r="P167" i="1"/>
  <c r="P168" i="1"/>
  <c r="P169" i="1"/>
  <c r="P170" i="1"/>
  <c r="P171" i="1"/>
  <c r="P172" i="1"/>
  <c r="P176" i="1"/>
  <c r="P178" i="1"/>
  <c r="P180" i="1"/>
  <c r="P182" i="1"/>
  <c r="P184" i="1"/>
  <c r="P193" i="1"/>
  <c r="P194" i="1"/>
  <c r="P195" i="1"/>
  <c r="P196" i="1"/>
  <c r="P197" i="1"/>
  <c r="P198" i="1"/>
  <c r="P200" i="1"/>
  <c r="P201" i="1"/>
  <c r="P203" i="1"/>
  <c r="P204" i="1"/>
  <c r="P205" i="1"/>
  <c r="P206" i="1"/>
  <c r="P207" i="1"/>
  <c r="P208" i="1"/>
  <c r="P212" i="1"/>
  <c r="P214" i="1"/>
  <c r="P219" i="1"/>
  <c r="P220" i="1"/>
  <c r="P227" i="1"/>
  <c r="P233" i="1"/>
  <c r="P239" i="1"/>
  <c r="P242" i="1"/>
  <c r="P243" i="1"/>
  <c r="P9" i="1"/>
  <c r="P10" i="1"/>
  <c r="P11" i="1"/>
  <c r="P12" i="1"/>
  <c r="C353" i="1" l="1"/>
  <c r="E353" i="1"/>
  <c r="F17" i="2" l="1"/>
  <c r="I17" i="2" s="1"/>
  <c r="P17" i="2" s="1"/>
  <c r="F16" i="2"/>
  <c r="I16" i="2" s="1"/>
  <c r="P16" i="2" s="1"/>
  <c r="F15" i="2" l="1"/>
  <c r="I15" i="2" l="1"/>
  <c r="F24" i="2"/>
  <c r="F14" i="2"/>
  <c r="I14" i="2" s="1"/>
  <c r="P14" i="2" s="1"/>
  <c r="F6" i="2"/>
  <c r="I6" i="2" s="1"/>
  <c r="F7" i="2"/>
  <c r="F8" i="2"/>
  <c r="I8" i="2" s="1"/>
  <c r="P8" i="2" s="1"/>
  <c r="F9" i="2"/>
  <c r="I11" i="2"/>
  <c r="P11" i="2" s="1"/>
  <c r="F12" i="2"/>
  <c r="I12" i="2" s="1"/>
  <c r="P12" i="2" s="1"/>
  <c r="F13" i="2"/>
  <c r="I13" i="2" s="1"/>
  <c r="P13" i="2" s="1"/>
  <c r="F4" i="2"/>
  <c r="F5" i="2"/>
  <c r="I5" i="2" s="1"/>
  <c r="G133" i="1"/>
  <c r="J133" i="1" s="1"/>
  <c r="G192" i="1"/>
  <c r="G183" i="1"/>
  <c r="G90" i="1"/>
  <c r="J90" i="1" s="1"/>
  <c r="G22" i="1"/>
  <c r="G23" i="1"/>
  <c r="J23" i="1" s="1"/>
  <c r="G25" i="1"/>
  <c r="J25" i="1" s="1"/>
  <c r="G26" i="1"/>
  <c r="G27" i="1"/>
  <c r="J27" i="1" s="1"/>
  <c r="G28" i="1"/>
  <c r="G29" i="1"/>
  <c r="J29" i="1" s="1"/>
  <c r="G30" i="1"/>
  <c r="J30" i="1" s="1"/>
  <c r="G31" i="1"/>
  <c r="G32" i="1"/>
  <c r="J32" i="1" s="1"/>
  <c r="G33" i="1"/>
  <c r="J33" i="1" s="1"/>
  <c r="G34" i="1"/>
  <c r="J34" i="1" s="1"/>
  <c r="G35" i="1"/>
  <c r="J35" i="1" s="1"/>
  <c r="G36" i="1"/>
  <c r="G37" i="1"/>
  <c r="J37" i="1" s="1"/>
  <c r="G38" i="1"/>
  <c r="J38" i="1" s="1"/>
  <c r="G39" i="1"/>
  <c r="J39" i="1" s="1"/>
  <c r="G40" i="1"/>
  <c r="J40" i="1" s="1"/>
  <c r="Q40" i="1" s="1"/>
  <c r="G41" i="1"/>
  <c r="J41" i="1" s="1"/>
  <c r="G42" i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G60" i="1"/>
  <c r="J60" i="1" s="1"/>
  <c r="G61" i="1"/>
  <c r="J61" i="1" s="1"/>
  <c r="G62" i="1"/>
  <c r="J62" i="1" s="1"/>
  <c r="Q62" i="1" s="1"/>
  <c r="G63" i="1"/>
  <c r="J63" i="1" s="1"/>
  <c r="G64" i="1"/>
  <c r="J64" i="1" s="1"/>
  <c r="G65" i="1"/>
  <c r="J65" i="1" s="1"/>
  <c r="G66" i="1"/>
  <c r="J66" i="1" s="1"/>
  <c r="G67" i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G75" i="1"/>
  <c r="J75" i="1" s="1"/>
  <c r="G76" i="1"/>
  <c r="J76" i="1" s="1"/>
  <c r="G77" i="1"/>
  <c r="J77" i="1" s="1"/>
  <c r="G78" i="1"/>
  <c r="J78" i="1" s="1"/>
  <c r="G79" i="1"/>
  <c r="J79" i="1" s="1"/>
  <c r="G80" i="1"/>
  <c r="J80" i="1" s="1"/>
  <c r="G81" i="1"/>
  <c r="J81" i="1" s="1"/>
  <c r="G82" i="1"/>
  <c r="J82" i="1" s="1"/>
  <c r="G83" i="1"/>
  <c r="J83" i="1" s="1"/>
  <c r="Q83" i="1" s="1"/>
  <c r="G84" i="1"/>
  <c r="J84" i="1" s="1"/>
  <c r="G85" i="1"/>
  <c r="J85" i="1" s="1"/>
  <c r="G86" i="1"/>
  <c r="J86" i="1" s="1"/>
  <c r="G87" i="1"/>
  <c r="J87" i="1" s="1"/>
  <c r="G88" i="1"/>
  <c r="G89" i="1"/>
  <c r="J89" i="1" s="1"/>
  <c r="G91" i="1"/>
  <c r="J91" i="1" s="1"/>
  <c r="G92" i="1"/>
  <c r="G93" i="1"/>
  <c r="J93" i="1" s="1"/>
  <c r="G94" i="1"/>
  <c r="J94" i="1" s="1"/>
  <c r="G95" i="1"/>
  <c r="G96" i="1"/>
  <c r="G97" i="1"/>
  <c r="J97" i="1" s="1"/>
  <c r="G98" i="1"/>
  <c r="J98" i="1" s="1"/>
  <c r="G99" i="1"/>
  <c r="J99" i="1" s="1"/>
  <c r="G101" i="1"/>
  <c r="J101" i="1" s="1"/>
  <c r="G102" i="1"/>
  <c r="J102" i="1" s="1"/>
  <c r="G103" i="1"/>
  <c r="J103" i="1" s="1"/>
  <c r="Q103" i="1" s="1"/>
  <c r="G104" i="1"/>
  <c r="J104" i="1" s="1"/>
  <c r="G105" i="1"/>
  <c r="N105" i="1" s="1"/>
  <c r="G106" i="1"/>
  <c r="J106" i="1" s="1"/>
  <c r="G107" i="1"/>
  <c r="J107" i="1" s="1"/>
  <c r="G108" i="1"/>
  <c r="J108" i="1" s="1"/>
  <c r="G109" i="1"/>
  <c r="J109" i="1" s="1"/>
  <c r="G110" i="1"/>
  <c r="G111" i="1"/>
  <c r="J111" i="1" s="1"/>
  <c r="G112" i="1"/>
  <c r="J112" i="1" s="1"/>
  <c r="G113" i="1"/>
  <c r="J113" i="1" s="1"/>
  <c r="G114" i="1"/>
  <c r="J114" i="1" s="1"/>
  <c r="G115" i="1"/>
  <c r="J115" i="1" s="1"/>
  <c r="G116" i="1"/>
  <c r="J116" i="1" s="1"/>
  <c r="Q116" i="1" s="1"/>
  <c r="G117" i="1"/>
  <c r="G118" i="1"/>
  <c r="G119" i="1"/>
  <c r="J119" i="1" s="1"/>
  <c r="G120" i="1"/>
  <c r="J120" i="1" s="1"/>
  <c r="G121" i="1"/>
  <c r="J121" i="1" s="1"/>
  <c r="G122" i="1"/>
  <c r="J122" i="1" s="1"/>
  <c r="G123" i="1"/>
  <c r="J123" i="1" s="1"/>
  <c r="G124" i="1"/>
  <c r="J124" i="1" s="1"/>
  <c r="G125" i="1"/>
  <c r="J125" i="1" s="1"/>
  <c r="G126" i="1"/>
  <c r="J126" i="1" s="1"/>
  <c r="G127" i="1"/>
  <c r="G128" i="1"/>
  <c r="J128" i="1" s="1"/>
  <c r="G129" i="1"/>
  <c r="J129" i="1" s="1"/>
  <c r="G130" i="1"/>
  <c r="G131" i="1"/>
  <c r="G132" i="1"/>
  <c r="G134" i="1"/>
  <c r="J134" i="1" s="1"/>
  <c r="G135" i="1"/>
  <c r="J135" i="1" s="1"/>
  <c r="G136" i="1"/>
  <c r="J136" i="1" s="1"/>
  <c r="G137" i="1"/>
  <c r="J137" i="1" s="1"/>
  <c r="G138" i="1"/>
  <c r="J138" i="1" s="1"/>
  <c r="Q138" i="1" s="1"/>
  <c r="G139" i="1"/>
  <c r="G140" i="1"/>
  <c r="J140" i="1" s="1"/>
  <c r="G141" i="1"/>
  <c r="J141" i="1" s="1"/>
  <c r="G142" i="1"/>
  <c r="J142" i="1" s="1"/>
  <c r="G143" i="1"/>
  <c r="J143" i="1" s="1"/>
  <c r="G144" i="1"/>
  <c r="J144" i="1" s="1"/>
  <c r="G145" i="1"/>
  <c r="J145" i="1" s="1"/>
  <c r="G146" i="1"/>
  <c r="J146" i="1" s="1"/>
  <c r="G147" i="1"/>
  <c r="J147" i="1" s="1"/>
  <c r="G148" i="1"/>
  <c r="J148" i="1" s="1"/>
  <c r="G149" i="1"/>
  <c r="J149" i="1" s="1"/>
  <c r="G150" i="1"/>
  <c r="J150" i="1" s="1"/>
  <c r="G151" i="1"/>
  <c r="J151" i="1" s="1"/>
  <c r="G152" i="1"/>
  <c r="G153" i="1"/>
  <c r="J153" i="1" s="1"/>
  <c r="G154" i="1"/>
  <c r="J154" i="1" s="1"/>
  <c r="G155" i="1"/>
  <c r="J155" i="1" s="1"/>
  <c r="G156" i="1"/>
  <c r="J156" i="1" s="1"/>
  <c r="G157" i="1"/>
  <c r="J157" i="1" s="1"/>
  <c r="G158" i="1"/>
  <c r="J158" i="1" s="1"/>
  <c r="G159" i="1"/>
  <c r="J159" i="1" s="1"/>
  <c r="G160" i="1"/>
  <c r="J160" i="1" s="1"/>
  <c r="G161" i="1"/>
  <c r="J161" i="1" s="1"/>
  <c r="G162" i="1"/>
  <c r="J162" i="1" s="1"/>
  <c r="G163" i="1"/>
  <c r="G164" i="1"/>
  <c r="J164" i="1" s="1"/>
  <c r="G165" i="1"/>
  <c r="J165" i="1" s="1"/>
  <c r="G166" i="1"/>
  <c r="J166" i="1" s="1"/>
  <c r="G167" i="1"/>
  <c r="J167" i="1" s="1"/>
  <c r="G168" i="1"/>
  <c r="J168" i="1" s="1"/>
  <c r="Q168" i="1" s="1"/>
  <c r="G169" i="1"/>
  <c r="J169" i="1" s="1"/>
  <c r="G170" i="1"/>
  <c r="J170" i="1" s="1"/>
  <c r="G171" i="1"/>
  <c r="G172" i="1"/>
  <c r="J172" i="1" s="1"/>
  <c r="G173" i="1"/>
  <c r="G174" i="1"/>
  <c r="J174" i="1" s="1"/>
  <c r="G175" i="1"/>
  <c r="J175" i="1" s="1"/>
  <c r="G176" i="1"/>
  <c r="J176" i="1" s="1"/>
  <c r="Q176" i="1" s="1"/>
  <c r="G177" i="1"/>
  <c r="G178" i="1"/>
  <c r="G179" i="1"/>
  <c r="G180" i="1"/>
  <c r="J180" i="1" s="1"/>
  <c r="Q180" i="1" s="1"/>
  <c r="G181" i="1"/>
  <c r="G182" i="1"/>
  <c r="J182" i="1" s="1"/>
  <c r="G184" i="1"/>
  <c r="J184" i="1" s="1"/>
  <c r="G185" i="1"/>
  <c r="N185" i="1" s="1"/>
  <c r="G186" i="1"/>
  <c r="J186" i="1" s="1"/>
  <c r="G187" i="1"/>
  <c r="G188" i="1"/>
  <c r="J188" i="1" s="1"/>
  <c r="G189" i="1"/>
  <c r="J189" i="1" s="1"/>
  <c r="G190" i="1"/>
  <c r="J190" i="1" s="1"/>
  <c r="G191" i="1"/>
  <c r="G193" i="1"/>
  <c r="J193" i="1" s="1"/>
  <c r="G194" i="1"/>
  <c r="J194" i="1" s="1"/>
  <c r="G195" i="1"/>
  <c r="J195" i="1" s="1"/>
  <c r="G196" i="1"/>
  <c r="J196" i="1" s="1"/>
  <c r="G197" i="1"/>
  <c r="J197" i="1" s="1"/>
  <c r="G198" i="1"/>
  <c r="J198" i="1" s="1"/>
  <c r="G199" i="1"/>
  <c r="J199" i="1" s="1"/>
  <c r="G200" i="1"/>
  <c r="J200" i="1" s="1"/>
  <c r="G201" i="1"/>
  <c r="J201" i="1" s="1"/>
  <c r="G202" i="1"/>
  <c r="J202" i="1" s="1"/>
  <c r="G203" i="1"/>
  <c r="G204" i="1"/>
  <c r="J204" i="1" s="1"/>
  <c r="G205" i="1"/>
  <c r="J205" i="1" s="1"/>
  <c r="G206" i="1"/>
  <c r="G207" i="1"/>
  <c r="J207" i="1" s="1"/>
  <c r="G208" i="1"/>
  <c r="J208" i="1" s="1"/>
  <c r="G209" i="1"/>
  <c r="J209" i="1" s="1"/>
  <c r="G210" i="1"/>
  <c r="J210" i="1" s="1"/>
  <c r="G211" i="1"/>
  <c r="J211" i="1" s="1"/>
  <c r="G212" i="1"/>
  <c r="J212" i="1" s="1"/>
  <c r="G213" i="1"/>
  <c r="N213" i="1" s="1"/>
  <c r="G214" i="1"/>
  <c r="J214" i="1" s="1"/>
  <c r="G215" i="1"/>
  <c r="J215" i="1" s="1"/>
  <c r="G216" i="1"/>
  <c r="J216" i="1" s="1"/>
  <c r="G217" i="1"/>
  <c r="G218" i="1"/>
  <c r="G219" i="1"/>
  <c r="J219" i="1" s="1"/>
  <c r="G220" i="1"/>
  <c r="J220" i="1" s="1"/>
  <c r="G221" i="1"/>
  <c r="J221" i="1" s="1"/>
  <c r="G223" i="1"/>
  <c r="J223" i="1" s="1"/>
  <c r="G224" i="1"/>
  <c r="J224" i="1" s="1"/>
  <c r="G225" i="1"/>
  <c r="J225" i="1" s="1"/>
  <c r="G226" i="1"/>
  <c r="J226" i="1" s="1"/>
  <c r="G227" i="1"/>
  <c r="J227" i="1" s="1"/>
  <c r="Q227" i="1" s="1"/>
  <c r="G228" i="1"/>
  <c r="G229" i="1"/>
  <c r="J229" i="1" s="1"/>
  <c r="G230" i="1"/>
  <c r="G231" i="1"/>
  <c r="J231" i="1" s="1"/>
  <c r="G232" i="1"/>
  <c r="G233" i="1"/>
  <c r="J233" i="1" s="1"/>
  <c r="Q233" i="1" s="1"/>
  <c r="G234" i="1"/>
  <c r="J234" i="1" s="1"/>
  <c r="G235" i="1"/>
  <c r="J235" i="1" s="1"/>
  <c r="G236" i="1"/>
  <c r="J236" i="1" s="1"/>
  <c r="G237" i="1"/>
  <c r="J237" i="1" s="1"/>
  <c r="G238" i="1"/>
  <c r="G239" i="1"/>
  <c r="J239" i="1" s="1"/>
  <c r="G240" i="1"/>
  <c r="J240" i="1" s="1"/>
  <c r="G241" i="1"/>
  <c r="J241" i="1" s="1"/>
  <c r="G242" i="1"/>
  <c r="J242" i="1" s="1"/>
  <c r="Q242" i="1" s="1"/>
  <c r="G243" i="1"/>
  <c r="J243" i="1" s="1"/>
  <c r="G5" i="1"/>
  <c r="J5" i="1" s="1"/>
  <c r="O5" i="1" s="1"/>
  <c r="P5" i="1" s="1"/>
  <c r="G6" i="1"/>
  <c r="G7" i="1"/>
  <c r="J7" i="1" s="1"/>
  <c r="O7" i="1" s="1"/>
  <c r="P7" i="1" s="1"/>
  <c r="G8" i="1"/>
  <c r="G9" i="1"/>
  <c r="G10" i="1"/>
  <c r="J10" i="1" s="1"/>
  <c r="G11" i="1"/>
  <c r="J11" i="1" s="1"/>
  <c r="G12" i="1"/>
  <c r="J12" i="1" s="1"/>
  <c r="Q12" i="1" s="1"/>
  <c r="G13" i="1"/>
  <c r="G4" i="1"/>
  <c r="G256" i="1"/>
  <c r="G257" i="1"/>
  <c r="J257" i="1" s="1"/>
  <c r="G258" i="1"/>
  <c r="J258" i="1" s="1"/>
  <c r="G259" i="1"/>
  <c r="J259" i="1" s="1"/>
  <c r="G260" i="1"/>
  <c r="J260" i="1" s="1"/>
  <c r="G261" i="1"/>
  <c r="J261" i="1" s="1"/>
  <c r="G262" i="1"/>
  <c r="G263" i="1"/>
  <c r="G264" i="1"/>
  <c r="L264" i="1" s="1"/>
  <c r="G265" i="1"/>
  <c r="J265" i="1" s="1"/>
  <c r="G266" i="1"/>
  <c r="J266" i="1" s="1"/>
  <c r="Q266" i="1" s="1"/>
  <c r="G267" i="1"/>
  <c r="G268" i="1"/>
  <c r="G269" i="1"/>
  <c r="J269" i="1" s="1"/>
  <c r="Q269" i="1" s="1"/>
  <c r="G270" i="1"/>
  <c r="G271" i="1"/>
  <c r="J271" i="1" s="1"/>
  <c r="F4" i="3"/>
  <c r="F5" i="3"/>
  <c r="I5" i="3" s="1"/>
  <c r="P5" i="3" s="1"/>
  <c r="F6" i="3"/>
  <c r="I6" i="3" s="1"/>
  <c r="P6" i="3" s="1"/>
  <c r="F7" i="3"/>
  <c r="I7" i="3" s="1"/>
  <c r="F8" i="3"/>
  <c r="I8" i="3" s="1"/>
  <c r="P8" i="3" s="1"/>
  <c r="F9" i="3"/>
  <c r="I9" i="3" s="1"/>
  <c r="F10" i="3"/>
  <c r="I10" i="3" s="1"/>
  <c r="P10" i="3" s="1"/>
  <c r="I350" i="1"/>
  <c r="G293" i="1"/>
  <c r="G294" i="1"/>
  <c r="J294" i="1" s="1"/>
  <c r="G295" i="1"/>
  <c r="J295" i="1" s="1"/>
  <c r="G296" i="1"/>
  <c r="J296" i="1" s="1"/>
  <c r="G297" i="1"/>
  <c r="J297" i="1" s="1"/>
  <c r="G298" i="1"/>
  <c r="J298" i="1" s="1"/>
  <c r="G299" i="1"/>
  <c r="J299" i="1" s="1"/>
  <c r="G300" i="1"/>
  <c r="G301" i="1"/>
  <c r="J301" i="1" s="1"/>
  <c r="G302" i="1"/>
  <c r="J302" i="1" s="1"/>
  <c r="G303" i="1"/>
  <c r="J303" i="1" s="1"/>
  <c r="G304" i="1"/>
  <c r="J304" i="1" s="1"/>
  <c r="G305" i="1"/>
  <c r="J305" i="1" s="1"/>
  <c r="G306" i="1"/>
  <c r="J306" i="1" s="1"/>
  <c r="G307" i="1"/>
  <c r="J307" i="1" s="1"/>
  <c r="G308" i="1"/>
  <c r="J308" i="1" s="1"/>
  <c r="G309" i="1"/>
  <c r="J309" i="1" s="1"/>
  <c r="G310" i="1"/>
  <c r="G311" i="1"/>
  <c r="J311" i="1" s="1"/>
  <c r="G312" i="1"/>
  <c r="J312" i="1" s="1"/>
  <c r="J315" i="1"/>
  <c r="G316" i="1"/>
  <c r="J316" i="1" s="1"/>
  <c r="G317" i="1"/>
  <c r="J317" i="1" s="1"/>
  <c r="G318" i="1"/>
  <c r="J318" i="1" s="1"/>
  <c r="G319" i="1"/>
  <c r="J319" i="1" s="1"/>
  <c r="G322" i="1"/>
  <c r="J322" i="1" s="1"/>
  <c r="G323" i="1"/>
  <c r="G324" i="1"/>
  <c r="J324" i="1" s="1"/>
  <c r="G325" i="1"/>
  <c r="J325" i="1" s="1"/>
  <c r="G326" i="1"/>
  <c r="G327" i="1"/>
  <c r="J327" i="1" s="1"/>
  <c r="G329" i="1"/>
  <c r="J329" i="1" s="1"/>
  <c r="G330" i="1"/>
  <c r="J330" i="1" s="1"/>
  <c r="G332" i="1"/>
  <c r="J332" i="1" s="1"/>
  <c r="G328" i="1"/>
  <c r="G337" i="1"/>
  <c r="G338" i="1"/>
  <c r="G339" i="1"/>
  <c r="J339" i="1" s="1"/>
  <c r="K350" i="1"/>
  <c r="J328" i="1" l="1"/>
  <c r="L329" i="1"/>
  <c r="F90" i="2"/>
  <c r="C350" i="1" s="1"/>
  <c r="J26" i="1"/>
  <c r="L26" i="1"/>
  <c r="F11" i="3"/>
  <c r="G273" i="1"/>
  <c r="J118" i="1"/>
  <c r="Q118" i="1" s="1"/>
  <c r="L118" i="1"/>
  <c r="P118" i="1" s="1"/>
  <c r="J110" i="1"/>
  <c r="L110" i="1"/>
  <c r="P110" i="1" s="1"/>
  <c r="J95" i="1"/>
  <c r="N95" i="1"/>
  <c r="J4" i="1"/>
  <c r="G14" i="1"/>
  <c r="J191" i="1"/>
  <c r="L191" i="1"/>
  <c r="P191" i="1" s="1"/>
  <c r="J22" i="1"/>
  <c r="G244" i="1"/>
  <c r="G340" i="1"/>
  <c r="I349" i="1" s="1"/>
  <c r="G354" i="1" s="1"/>
  <c r="L322" i="1"/>
  <c r="P322" i="1" s="1"/>
  <c r="Q322" i="1" s="1"/>
  <c r="L295" i="1"/>
  <c r="P295" i="1" s="1"/>
  <c r="Q295" i="1" s="1"/>
  <c r="J323" i="1"/>
  <c r="L323" i="1"/>
  <c r="P323" i="1" s="1"/>
  <c r="J338" i="1"/>
  <c r="J171" i="1"/>
  <c r="Q171" i="1" s="1"/>
  <c r="N4" i="3"/>
  <c r="N11" i="3" s="1"/>
  <c r="J177" i="1"/>
  <c r="L177" i="1"/>
  <c r="P177" i="1" s="1"/>
  <c r="Q177" i="1" s="1"/>
  <c r="I24" i="2"/>
  <c r="K24" i="2"/>
  <c r="J206" i="1"/>
  <c r="Q206" i="1" s="1"/>
  <c r="E349" i="1"/>
  <c r="J256" i="1"/>
  <c r="J337" i="1"/>
  <c r="L337" i="1"/>
  <c r="P337" i="1" s="1"/>
  <c r="P15" i="2"/>
  <c r="J268" i="1"/>
  <c r="L268" i="1"/>
  <c r="P268" i="1" s="1"/>
  <c r="J264" i="1"/>
  <c r="P264" i="1"/>
  <c r="J132" i="1"/>
  <c r="K9" i="3"/>
  <c r="O9" i="3" s="1"/>
  <c r="P9" i="3" s="1"/>
  <c r="L158" i="1"/>
  <c r="N146" i="1"/>
  <c r="P146" i="1" s="1"/>
  <c r="Q146" i="1" s="1"/>
  <c r="L162" i="1"/>
  <c r="N166" i="1"/>
  <c r="J139" i="1"/>
  <c r="O139" i="1"/>
  <c r="P139" i="1" s="1"/>
  <c r="K7" i="3"/>
  <c r="K11" i="3" s="1"/>
  <c r="O4" i="3"/>
  <c r="I4" i="3"/>
  <c r="I11" i="3" s="1"/>
  <c r="I4" i="2"/>
  <c r="J293" i="1"/>
  <c r="L293" i="1"/>
  <c r="L330" i="1"/>
  <c r="P330" i="1" s="1"/>
  <c r="Q330" i="1" s="1"/>
  <c r="N188" i="1"/>
  <c r="L261" i="1"/>
  <c r="J228" i="1"/>
  <c r="N228" i="1"/>
  <c r="P228" i="1" s="1"/>
  <c r="J187" i="1"/>
  <c r="N187" i="1"/>
  <c r="P187" i="1" s="1"/>
  <c r="J88" i="1"/>
  <c r="N88" i="1"/>
  <c r="I7" i="2"/>
  <c r="N7" i="2"/>
  <c r="N90" i="2" s="1"/>
  <c r="N9" i="2"/>
  <c r="O9" i="2" s="1"/>
  <c r="I9" i="2"/>
  <c r="J131" i="1"/>
  <c r="O107" i="1"/>
  <c r="P107" i="1" s="1"/>
  <c r="Q107" i="1" s="1"/>
  <c r="N134" i="1"/>
  <c r="P134" i="1" s="1"/>
  <c r="Q134" i="1" s="1"/>
  <c r="L311" i="1"/>
  <c r="P311" i="1" s="1"/>
  <c r="Q311" i="1" s="1"/>
  <c r="N224" i="1"/>
  <c r="N162" i="1"/>
  <c r="L309" i="1"/>
  <c r="P309" i="1" s="1"/>
  <c r="Q309" i="1" s="1"/>
  <c r="O199" i="1"/>
  <c r="P199" i="1" s="1"/>
  <c r="Q199" i="1" s="1"/>
  <c r="N159" i="1"/>
  <c r="L216" i="1"/>
  <c r="L235" i="1"/>
  <c r="P235" i="1" s="1"/>
  <c r="Q235" i="1" s="1"/>
  <c r="L319" i="1"/>
  <c r="L301" i="1"/>
  <c r="P301" i="1" s="1"/>
  <c r="Q301" i="1" s="1"/>
  <c r="L231" i="1"/>
  <c r="L95" i="1"/>
  <c r="L327" i="1"/>
  <c r="P327" i="1" s="1"/>
  <c r="Q327" i="1" s="1"/>
  <c r="L312" i="1"/>
  <c r="P312" i="1" s="1"/>
  <c r="Q312" i="1" s="1"/>
  <c r="N237" i="1"/>
  <c r="L86" i="1"/>
  <c r="P86" i="1" s="1"/>
  <c r="Q86" i="1" s="1"/>
  <c r="O129" i="1"/>
  <c r="P129" i="1" s="1"/>
  <c r="Q129" i="1" s="1"/>
  <c r="O32" i="1"/>
  <c r="P32" i="1" s="1"/>
  <c r="Q32" i="1" s="1"/>
  <c r="N64" i="1"/>
  <c r="P64" i="1" s="1"/>
  <c r="Q64" i="1" s="1"/>
  <c r="L306" i="1"/>
  <c r="P306" i="1" s="1"/>
  <c r="Q306" i="1" s="1"/>
  <c r="O48" i="1"/>
  <c r="N101" i="1"/>
  <c r="L300" i="1"/>
  <c r="P300" i="1" s="1"/>
  <c r="J300" i="1"/>
  <c r="L262" i="1"/>
  <c r="P262" i="1" s="1"/>
  <c r="J262" i="1"/>
  <c r="O13" i="1"/>
  <c r="P13" i="1" s="1"/>
  <c r="J13" i="1"/>
  <c r="N218" i="1"/>
  <c r="J218" i="1"/>
  <c r="J185" i="1"/>
  <c r="J130" i="1"/>
  <c r="Q130" i="1" s="1"/>
  <c r="L127" i="1"/>
  <c r="J127" i="1"/>
  <c r="L96" i="1"/>
  <c r="J96" i="1"/>
  <c r="J92" i="1"/>
  <c r="Q92" i="1" s="1"/>
  <c r="J59" i="1"/>
  <c r="Q59" i="1" s="1"/>
  <c r="L31" i="1"/>
  <c r="J31" i="1"/>
  <c r="N183" i="1"/>
  <c r="P183" i="1" s="1"/>
  <c r="J183" i="1"/>
  <c r="O142" i="1"/>
  <c r="P142" i="1" s="1"/>
  <c r="Q142" i="1" s="1"/>
  <c r="N127" i="1"/>
  <c r="N55" i="1"/>
  <c r="L210" i="1"/>
  <c r="J270" i="1"/>
  <c r="Q270" i="1" s="1"/>
  <c r="L267" i="1"/>
  <c r="P267" i="1" s="1"/>
  <c r="J267" i="1"/>
  <c r="N232" i="1"/>
  <c r="J232" i="1"/>
  <c r="J217" i="1"/>
  <c r="L213" i="1"/>
  <c r="P213" i="1" s="1"/>
  <c r="J213" i="1"/>
  <c r="N179" i="1"/>
  <c r="J179" i="1"/>
  <c r="J74" i="1"/>
  <c r="N192" i="1"/>
  <c r="J192" i="1"/>
  <c r="L310" i="1"/>
  <c r="P310" i="1" s="1"/>
  <c r="J310" i="1"/>
  <c r="O241" i="1"/>
  <c r="O54" i="1"/>
  <c r="P54" i="1" s="1"/>
  <c r="Q54" i="1" s="1"/>
  <c r="O23" i="1"/>
  <c r="N47" i="1"/>
  <c r="L202" i="1"/>
  <c r="P202" i="1" s="1"/>
  <c r="Q202" i="1" s="1"/>
  <c r="L122" i="1"/>
  <c r="L78" i="1"/>
  <c r="J263" i="1"/>
  <c r="Q263" i="1" s="1"/>
  <c r="J178" i="1"/>
  <c r="Q178" i="1" s="1"/>
  <c r="N163" i="1"/>
  <c r="J163" i="1"/>
  <c r="O152" i="1"/>
  <c r="P152" i="1" s="1"/>
  <c r="J152" i="1"/>
  <c r="N117" i="1"/>
  <c r="P117" i="1" s="1"/>
  <c r="J117" i="1"/>
  <c r="O22" i="1"/>
  <c r="N319" i="1"/>
  <c r="N340" i="1" s="1"/>
  <c r="L325" i="1"/>
  <c r="P325" i="1" s="1"/>
  <c r="Q325" i="1" s="1"/>
  <c r="L326" i="1"/>
  <c r="P326" i="1" s="1"/>
  <c r="J326" i="1"/>
  <c r="O229" i="1"/>
  <c r="O49" i="1"/>
  <c r="P49" i="1" s="1"/>
  <c r="Q49" i="1" s="1"/>
  <c r="N216" i="1"/>
  <c r="N26" i="1"/>
  <c r="N38" i="1"/>
  <c r="L221" i="1"/>
  <c r="L188" i="1"/>
  <c r="L106" i="1"/>
  <c r="L38" i="1"/>
  <c r="P38" i="1" s="1"/>
  <c r="Q38" i="1" s="1"/>
  <c r="L238" i="1"/>
  <c r="J238" i="1"/>
  <c r="J230" i="1"/>
  <c r="J203" i="1"/>
  <c r="Q203" i="1" s="1"/>
  <c r="L181" i="1"/>
  <c r="J181" i="1"/>
  <c r="L173" i="1"/>
  <c r="J173" i="1"/>
  <c r="L105" i="1"/>
  <c r="P105" i="1" s="1"/>
  <c r="J105" i="1"/>
  <c r="O36" i="1"/>
  <c r="J36" i="1"/>
  <c r="J28" i="1"/>
  <c r="C352" i="1"/>
  <c r="J8" i="1"/>
  <c r="O8" i="1" s="1"/>
  <c r="P8" i="1" s="1"/>
  <c r="Q8" i="1" s="1"/>
  <c r="J6" i="1"/>
  <c r="O6" i="1" s="1"/>
  <c r="P6" i="1" s="1"/>
  <c r="Q6" i="1" s="1"/>
  <c r="J9" i="1"/>
  <c r="Q9" i="1" s="1"/>
  <c r="L271" i="1"/>
  <c r="P271" i="1" s="1"/>
  <c r="Q271" i="1" s="1"/>
  <c r="L154" i="1"/>
  <c r="L304" i="1"/>
  <c r="P304" i="1" s="1"/>
  <c r="Q219" i="1"/>
  <c r="O215" i="1"/>
  <c r="P215" i="1" s="1"/>
  <c r="Q215" i="1" s="1"/>
  <c r="L160" i="1"/>
  <c r="Q212" i="1"/>
  <c r="L225" i="1"/>
  <c r="L166" i="1"/>
  <c r="L101" i="1"/>
  <c r="N78" i="1"/>
  <c r="O37" i="1"/>
  <c r="P37" i="1" s="1"/>
  <c r="Q37" i="1" s="1"/>
  <c r="L294" i="1"/>
  <c r="P294" i="1" s="1"/>
  <c r="Q294" i="1" s="1"/>
  <c r="N154" i="1"/>
  <c r="L234" i="1"/>
  <c r="N234" i="1"/>
  <c r="L186" i="1"/>
  <c r="N186" i="1"/>
  <c r="O174" i="1"/>
  <c r="N104" i="1"/>
  <c r="P104" i="1" s="1"/>
  <c r="Q208" i="1"/>
  <c r="Q259" i="1"/>
  <c r="Q11" i="1"/>
  <c r="Q120" i="1"/>
  <c r="Q113" i="1"/>
  <c r="Q81" i="1"/>
  <c r="L156" i="1"/>
  <c r="L28" i="1"/>
  <c r="Q258" i="1"/>
  <c r="Q220" i="1"/>
  <c r="Q155" i="1"/>
  <c r="Q136" i="1"/>
  <c r="Q60" i="1"/>
  <c r="L299" i="1"/>
  <c r="P299" i="1" s="1"/>
  <c r="Q299" i="1" s="1"/>
  <c r="Q170" i="1"/>
  <c r="Q109" i="1"/>
  <c r="O42" i="1"/>
  <c r="N173" i="1"/>
  <c r="N156" i="1"/>
  <c r="L230" i="1"/>
  <c r="Q10" i="1"/>
  <c r="Q172" i="1"/>
  <c r="Q115" i="1"/>
  <c r="Q82" i="1"/>
  <c r="L308" i="1"/>
  <c r="P308" i="1" s="1"/>
  <c r="Q308" i="1" s="1"/>
  <c r="Q52" i="1"/>
  <c r="N240" i="1"/>
  <c r="N231" i="1"/>
  <c r="L211" i="1"/>
  <c r="N211" i="1"/>
  <c r="Q191" i="1"/>
  <c r="L114" i="1"/>
  <c r="N114" i="1"/>
  <c r="L73" i="1"/>
  <c r="N73" i="1"/>
  <c r="Q63" i="1"/>
  <c r="O43" i="1"/>
  <c r="P43" i="1" s="1"/>
  <c r="P34" i="1"/>
  <c r="N31" i="1"/>
  <c r="O140" i="1"/>
  <c r="L240" i="1"/>
  <c r="L125" i="1"/>
  <c r="L190" i="1"/>
  <c r="Q110" i="1"/>
  <c r="N91" i="1"/>
  <c r="P91" i="1" s="1"/>
  <c r="Q91" i="1" s="1"/>
  <c r="Q79" i="1"/>
  <c r="O72" i="1"/>
  <c r="Q68" i="1"/>
  <c r="L51" i="1"/>
  <c r="L39" i="1"/>
  <c r="N39" i="1"/>
  <c r="L298" i="1"/>
  <c r="P298" i="1" s="1"/>
  <c r="Q298" i="1" s="1"/>
  <c r="Q332" i="1"/>
  <c r="L296" i="1"/>
  <c r="P296" i="1" s="1"/>
  <c r="O76" i="1"/>
  <c r="P76" i="1" s="1"/>
  <c r="Q76" i="1" s="1"/>
  <c r="N210" i="1"/>
  <c r="N164" i="1"/>
  <c r="N125" i="1"/>
  <c r="L237" i="1"/>
  <c r="L150" i="1"/>
  <c r="N236" i="1"/>
  <c r="L236" i="1"/>
  <c r="Q194" i="1"/>
  <c r="N189" i="1"/>
  <c r="L189" i="1"/>
  <c r="Q182" i="1"/>
  <c r="L175" i="1"/>
  <c r="Q169" i="1"/>
  <c r="L148" i="1"/>
  <c r="N148" i="1"/>
  <c r="Q97" i="1"/>
  <c r="Q67" i="1"/>
  <c r="L65" i="1"/>
  <c r="N65" i="1"/>
  <c r="N50" i="1"/>
  <c r="L47" i="1"/>
  <c r="Q44" i="1"/>
  <c r="L30" i="1"/>
  <c r="N30" i="1"/>
  <c r="L27" i="1"/>
  <c r="L133" i="1"/>
  <c r="Q328" i="1"/>
  <c r="Q317" i="1"/>
  <c r="L302" i="1"/>
  <c r="Q89" i="1"/>
  <c r="Q56" i="1"/>
  <c r="O71" i="1"/>
  <c r="O46" i="1"/>
  <c r="N225" i="1"/>
  <c r="N150" i="1"/>
  <c r="N190" i="1"/>
  <c r="N175" i="1"/>
  <c r="N85" i="1"/>
  <c r="N27" i="1"/>
  <c r="L41" i="1"/>
  <c r="L50" i="1"/>
  <c r="L232" i="1"/>
  <c r="L226" i="1"/>
  <c r="P226" i="1" s="1"/>
  <c r="Q214" i="1"/>
  <c r="Q204" i="1"/>
  <c r="Q200" i="1"/>
  <c r="N181" i="1"/>
  <c r="Q144" i="1"/>
  <c r="P131" i="1"/>
  <c r="N122" i="1"/>
  <c r="Q112" i="1"/>
  <c r="L93" i="1"/>
  <c r="N93" i="1"/>
  <c r="Q84" i="1"/>
  <c r="Q80" i="1"/>
  <c r="Q58" i="1"/>
  <c r="L55" i="1"/>
  <c r="Q35" i="1"/>
  <c r="N133" i="1"/>
  <c r="Q198" i="1"/>
  <c r="Q260" i="1"/>
  <c r="Q207" i="1"/>
  <c r="Q197" i="1"/>
  <c r="Q77" i="1"/>
  <c r="C351" i="1"/>
  <c r="Q205" i="1"/>
  <c r="L185" i="1"/>
  <c r="N106" i="1"/>
  <c r="Q99" i="1"/>
  <c r="Q70" i="1"/>
  <c r="O53" i="1"/>
  <c r="P53" i="1" s="1"/>
  <c r="Q53" i="1" s="1"/>
  <c r="Q45" i="1"/>
  <c r="Q29" i="1"/>
  <c r="Q90" i="1"/>
  <c r="Q196" i="1"/>
  <c r="Q167" i="1"/>
  <c r="Q66" i="1"/>
  <c r="K6" i="2"/>
  <c r="K90" i="2" s="1"/>
  <c r="P5" i="2"/>
  <c r="Q339" i="1"/>
  <c r="L297" i="1"/>
  <c r="P297" i="1" s="1"/>
  <c r="Q193" i="1"/>
  <c r="N165" i="1"/>
  <c r="N158" i="1"/>
  <c r="L157" i="1"/>
  <c r="L149" i="1"/>
  <c r="N149" i="1"/>
  <c r="O141" i="1"/>
  <c r="P141" i="1" s="1"/>
  <c r="L316" i="1"/>
  <c r="P316" i="1" s="1"/>
  <c r="L305" i="1"/>
  <c r="P305" i="1" s="1"/>
  <c r="N157" i="1"/>
  <c r="L209" i="1"/>
  <c r="N209" i="1"/>
  <c r="N160" i="1"/>
  <c r="L159" i="1"/>
  <c r="N151" i="1"/>
  <c r="L151" i="1"/>
  <c r="O143" i="1"/>
  <c r="P143" i="1" s="1"/>
  <c r="O135" i="1"/>
  <c r="P135" i="1" s="1"/>
  <c r="L126" i="1"/>
  <c r="N126" i="1"/>
  <c r="L88" i="1"/>
  <c r="L303" i="1"/>
  <c r="Q318" i="1"/>
  <c r="P315" i="1"/>
  <c r="O124" i="1"/>
  <c r="L223" i="1"/>
  <c r="Q161" i="1"/>
  <c r="O153" i="1"/>
  <c r="P153" i="1" s="1"/>
  <c r="N145" i="1"/>
  <c r="L145" i="1"/>
  <c r="O137" i="1"/>
  <c r="P137" i="1" s="1"/>
  <c r="L128" i="1"/>
  <c r="L94" i="1"/>
  <c r="N94" i="1"/>
  <c r="L324" i="1"/>
  <c r="P329" i="1"/>
  <c r="Q307" i="1"/>
  <c r="N132" i="1"/>
  <c r="L165" i="1"/>
  <c r="L163" i="1"/>
  <c r="O147" i="1"/>
  <c r="P147" i="1" s="1"/>
  <c r="Q121" i="1"/>
  <c r="Q98" i="1"/>
  <c r="Q7" i="1"/>
  <c r="L123" i="1"/>
  <c r="N123" i="1"/>
  <c r="O108" i="1"/>
  <c r="P108" i="1" s="1"/>
  <c r="Q102" i="1"/>
  <c r="L87" i="1"/>
  <c r="P87" i="1" s="1"/>
  <c r="O75" i="1"/>
  <c r="P75" i="1" s="1"/>
  <c r="Q69" i="1"/>
  <c r="Q61" i="1"/>
  <c r="Q57" i="1"/>
  <c r="Q184" i="1"/>
  <c r="O111" i="1"/>
  <c r="L179" i="1"/>
  <c r="Q201" i="1"/>
  <c r="Q195" i="1"/>
  <c r="N96" i="1"/>
  <c r="L33" i="1"/>
  <c r="N33" i="1"/>
  <c r="L25" i="1"/>
  <c r="N25" i="1"/>
  <c r="L192" i="1"/>
  <c r="Q5" i="1"/>
  <c r="N238" i="1"/>
  <c r="N51" i="1"/>
  <c r="Q268" i="1"/>
  <c r="Q265" i="1"/>
  <c r="Q257" i="1"/>
  <c r="O4" i="1"/>
  <c r="Q243" i="1"/>
  <c r="Q239" i="1"/>
  <c r="L224" i="1"/>
  <c r="C348" i="1"/>
  <c r="L218" i="1"/>
  <c r="G279" i="1" l="1"/>
  <c r="I90" i="2"/>
  <c r="J14" i="1"/>
  <c r="N244" i="1"/>
  <c r="N279" i="1" s="1"/>
  <c r="N346" i="1" s="1"/>
  <c r="O244" i="1"/>
  <c r="J244" i="1"/>
  <c r="P4" i="1"/>
  <c r="P14" i="1" s="1"/>
  <c r="O14" i="1"/>
  <c r="L244" i="1"/>
  <c r="L340" i="1"/>
  <c r="L273" i="1"/>
  <c r="L279" i="1" s="1"/>
  <c r="L346" i="1" s="1"/>
  <c r="J340" i="1"/>
  <c r="J273" i="1"/>
  <c r="Q264" i="1"/>
  <c r="Q338" i="1"/>
  <c r="Q329" i="1"/>
  <c r="Q323" i="1"/>
  <c r="Q337" i="1"/>
  <c r="P302" i="1"/>
  <c r="K349" i="1"/>
  <c r="J279" i="1"/>
  <c r="O24" i="2"/>
  <c r="Q256" i="1"/>
  <c r="P48" i="1"/>
  <c r="P240" i="1"/>
  <c r="Q240" i="1" s="1"/>
  <c r="P261" i="1"/>
  <c r="P273" i="1" s="1"/>
  <c r="P293" i="1"/>
  <c r="G346" i="1"/>
  <c r="C349" i="1"/>
  <c r="B354" i="1" s="1"/>
  <c r="P216" i="1"/>
  <c r="Q216" i="1" s="1"/>
  <c r="P4" i="3"/>
  <c r="P166" i="1"/>
  <c r="Q166" i="1" s="1"/>
  <c r="P162" i="1"/>
  <c r="Q162" i="1" s="1"/>
  <c r="P218" i="1"/>
  <c r="Q218" i="1" s="1"/>
  <c r="Q187" i="1"/>
  <c r="P22" i="1"/>
  <c r="K351" i="1"/>
  <c r="O7" i="3"/>
  <c r="P7" i="3" s="1"/>
  <c r="O7" i="2"/>
  <c r="P7" i="2" s="1"/>
  <c r="O6" i="2"/>
  <c r="P9" i="2"/>
  <c r="P4" i="2"/>
  <c r="P88" i="1"/>
  <c r="Q88" i="1" s="1"/>
  <c r="Q228" i="1"/>
  <c r="P151" i="1"/>
  <c r="Q151" i="1" s="1"/>
  <c r="Q105" i="1"/>
  <c r="P188" i="1"/>
  <c r="Q188" i="1" s="1"/>
  <c r="P28" i="1"/>
  <c r="Q28" i="1" s="1"/>
  <c r="Q13" i="1"/>
  <c r="Q300" i="1"/>
  <c r="P231" i="1"/>
  <c r="Q231" i="1" s="1"/>
  <c r="P179" i="1"/>
  <c r="Q179" i="1" s="1"/>
  <c r="P159" i="1"/>
  <c r="Q159" i="1" s="1"/>
  <c r="Q267" i="1"/>
  <c r="Q213" i="1"/>
  <c r="P39" i="1"/>
  <c r="Q39" i="1" s="1"/>
  <c r="Q183" i="1"/>
  <c r="P224" i="1"/>
  <c r="Q224" i="1" s="1"/>
  <c r="P95" i="1"/>
  <c r="Q95" i="1" s="1"/>
  <c r="P175" i="1"/>
  <c r="P145" i="1"/>
  <c r="Q145" i="1" s="1"/>
  <c r="K352" i="1"/>
  <c r="P238" i="1"/>
  <c r="Q238" i="1" s="1"/>
  <c r="P221" i="1"/>
  <c r="Q221" i="1" s="1"/>
  <c r="Q326" i="1"/>
  <c r="Q117" i="1"/>
  <c r="P47" i="1"/>
  <c r="Q47" i="1" s="1"/>
  <c r="P114" i="1"/>
  <c r="Q114" i="1" s="1"/>
  <c r="P211" i="1"/>
  <c r="Q211" i="1" s="1"/>
  <c r="Q152" i="1"/>
  <c r="Q310" i="1"/>
  <c r="P165" i="1"/>
  <c r="Q165" i="1" s="1"/>
  <c r="P133" i="1"/>
  <c r="Q133" i="1" s="1"/>
  <c r="P125" i="1"/>
  <c r="Q125" i="1" s="1"/>
  <c r="P78" i="1"/>
  <c r="Q78" i="1" s="1"/>
  <c r="P74" i="1"/>
  <c r="Q74" i="1" s="1"/>
  <c r="P210" i="1"/>
  <c r="Q210" i="1" s="1"/>
  <c r="P96" i="1"/>
  <c r="Q96" i="1" s="1"/>
  <c r="P319" i="1"/>
  <c r="Q319" i="1" s="1"/>
  <c r="P25" i="1"/>
  <c r="Q25" i="1" s="1"/>
  <c r="P106" i="1"/>
  <c r="Q106" i="1" s="1"/>
  <c r="P51" i="1"/>
  <c r="Q51" i="1" s="1"/>
  <c r="P190" i="1"/>
  <c r="Q190" i="1" s="1"/>
  <c r="P181" i="1"/>
  <c r="Q181" i="1" s="1"/>
  <c r="P217" i="1"/>
  <c r="Q262" i="1"/>
  <c r="P324" i="1"/>
  <c r="Q324" i="1" s="1"/>
  <c r="P303" i="1"/>
  <c r="Q303" i="1" s="1"/>
  <c r="P71" i="1"/>
  <c r="Q71" i="1" s="1"/>
  <c r="P150" i="1"/>
  <c r="Q150" i="1" s="1"/>
  <c r="P164" i="1"/>
  <c r="Q164" i="1" s="1"/>
  <c r="P101" i="1"/>
  <c r="Q101" i="1" s="1"/>
  <c r="P154" i="1"/>
  <c r="Q154" i="1" s="1"/>
  <c r="P119" i="1"/>
  <c r="Q119" i="1" s="1"/>
  <c r="P163" i="1"/>
  <c r="Q163" i="1" s="1"/>
  <c r="P94" i="1"/>
  <c r="Q94" i="1" s="1"/>
  <c r="P85" i="1"/>
  <c r="Q85" i="1" s="1"/>
  <c r="P30" i="1"/>
  <c r="Q30" i="1" s="1"/>
  <c r="P156" i="1"/>
  <c r="Q156" i="1" s="1"/>
  <c r="P174" i="1"/>
  <c r="Q174" i="1" s="1"/>
  <c r="P26" i="1"/>
  <c r="Q26" i="1" s="1"/>
  <c r="P229" i="1"/>
  <c r="Q229" i="1" s="1"/>
  <c r="P241" i="1"/>
  <c r="Q241" i="1" s="1"/>
  <c r="P192" i="1"/>
  <c r="Q192" i="1" s="1"/>
  <c r="P33" i="1"/>
  <c r="Q33" i="1" s="1"/>
  <c r="P111" i="1"/>
  <c r="Q111" i="1" s="1"/>
  <c r="P132" i="1"/>
  <c r="Q132" i="1" s="1"/>
  <c r="P223" i="1"/>
  <c r="P126" i="1"/>
  <c r="Q126" i="1" s="1"/>
  <c r="P209" i="1"/>
  <c r="Q209" i="1" s="1"/>
  <c r="P149" i="1"/>
  <c r="Q149" i="1" s="1"/>
  <c r="P185" i="1"/>
  <c r="P55" i="1"/>
  <c r="Q55" i="1" s="1"/>
  <c r="P50" i="1"/>
  <c r="Q50" i="1" s="1"/>
  <c r="P236" i="1"/>
  <c r="Q236" i="1" s="1"/>
  <c r="P237" i="1"/>
  <c r="Q237" i="1" s="1"/>
  <c r="P73" i="1"/>
  <c r="Q73" i="1" s="1"/>
  <c r="P230" i="1"/>
  <c r="Q230" i="1" s="1"/>
  <c r="P234" i="1"/>
  <c r="Q234" i="1" s="1"/>
  <c r="P160" i="1"/>
  <c r="Q160" i="1" s="1"/>
  <c r="P36" i="1"/>
  <c r="Q36" i="1" s="1"/>
  <c r="P173" i="1"/>
  <c r="Q173" i="1" s="1"/>
  <c r="P122" i="1"/>
  <c r="Q122" i="1" s="1"/>
  <c r="P123" i="1"/>
  <c r="Q123" i="1" s="1"/>
  <c r="P128" i="1"/>
  <c r="Q128" i="1" s="1"/>
  <c r="P124" i="1"/>
  <c r="Q124" i="1" s="1"/>
  <c r="P157" i="1"/>
  <c r="Q157" i="1" s="1"/>
  <c r="P93" i="1"/>
  <c r="Q93" i="1" s="1"/>
  <c r="P232" i="1"/>
  <c r="Q232" i="1" s="1"/>
  <c r="P41" i="1"/>
  <c r="Q41" i="1" s="1"/>
  <c r="P46" i="1"/>
  <c r="Q46" i="1" s="1"/>
  <c r="P27" i="1"/>
  <c r="Q27" i="1" s="1"/>
  <c r="P65" i="1"/>
  <c r="Q65" i="1" s="1"/>
  <c r="P148" i="1"/>
  <c r="Q148" i="1" s="1"/>
  <c r="P189" i="1"/>
  <c r="Q189" i="1" s="1"/>
  <c r="P72" i="1"/>
  <c r="Q72" i="1" s="1"/>
  <c r="P140" i="1"/>
  <c r="Q140" i="1" s="1"/>
  <c r="P42" i="1"/>
  <c r="Q42" i="1" s="1"/>
  <c r="P186" i="1"/>
  <c r="Q186" i="1" s="1"/>
  <c r="P225" i="1"/>
  <c r="Q225" i="1" s="1"/>
  <c r="P23" i="1"/>
  <c r="Q23" i="1" s="1"/>
  <c r="P158" i="1"/>
  <c r="Q158" i="1" s="1"/>
  <c r="P31" i="1"/>
  <c r="Q31" i="1" s="1"/>
  <c r="P127" i="1"/>
  <c r="Q127" i="1" s="1"/>
  <c r="Q4" i="1"/>
  <c r="Q14" i="1" s="1"/>
  <c r="Q104" i="1"/>
  <c r="Q304" i="1"/>
  <c r="Q226" i="1"/>
  <c r="Q296" i="1"/>
  <c r="Q108" i="1"/>
  <c r="Q137" i="1"/>
  <c r="Q305" i="1"/>
  <c r="Q316" i="1"/>
  <c r="Q34" i="1"/>
  <c r="Q135" i="1"/>
  <c r="Q131" i="1"/>
  <c r="Q175" i="1"/>
  <c r="Q43" i="1"/>
  <c r="Q87" i="1"/>
  <c r="Q147" i="1"/>
  <c r="Q153" i="1"/>
  <c r="Q315" i="1"/>
  <c r="Q75" i="1"/>
  <c r="Q139" i="1"/>
  <c r="Q143" i="1"/>
  <c r="Q141" i="1"/>
  <c r="J346" i="1" l="1"/>
  <c r="O11" i="3"/>
  <c r="O90" i="2"/>
  <c r="P11" i="3"/>
  <c r="Q22" i="1"/>
  <c r="P244" i="1"/>
  <c r="Q293" i="1"/>
  <c r="P340" i="1"/>
  <c r="O279" i="1"/>
  <c r="O346" i="1" s="1"/>
  <c r="Q302" i="1"/>
  <c r="Q185" i="1"/>
  <c r="P279" i="1"/>
  <c r="P346" i="1" s="1"/>
  <c r="P24" i="2"/>
  <c r="E348" i="1"/>
  <c r="Q261" i="1"/>
  <c r="Q273" i="1" s="1"/>
  <c r="Q48" i="1"/>
  <c r="Q217" i="1"/>
  <c r="Q223" i="1"/>
  <c r="P6" i="2"/>
  <c r="P90" i="2" s="1"/>
  <c r="E350" i="1"/>
  <c r="Q297" i="1"/>
  <c r="E351" i="1"/>
  <c r="Q340" i="1" l="1"/>
  <c r="Q244" i="1"/>
  <c r="Q279" i="1" s="1"/>
  <c r="Q346" i="1" s="1"/>
  <c r="K353" i="1"/>
  <c r="J354" i="1" s="1"/>
  <c r="E352" i="1" l="1"/>
  <c r="D354" i="1" s="1"/>
</calcChain>
</file>

<file path=xl/sharedStrings.xml><?xml version="1.0" encoding="utf-8"?>
<sst xmlns="http://schemas.openxmlformats.org/spreadsheetml/2006/main" count="1000" uniqueCount="621">
  <si>
    <t>DIRECCION</t>
  </si>
  <si>
    <t>COORDINACION</t>
  </si>
  <si>
    <t>PUESTO</t>
  </si>
  <si>
    <t>NOMBRE</t>
  </si>
  <si>
    <t>SALARIO DIARIO</t>
  </si>
  <si>
    <t>DIETAS</t>
  </si>
  <si>
    <t>REGIDURIA</t>
  </si>
  <si>
    <t>REGIDOR</t>
  </si>
  <si>
    <t>MARIA DE LOS ANGELES GISELA ANGUIANO GALVAN</t>
  </si>
  <si>
    <t>SALVADOR ALEJANDRO CUEVAS RODRIGUEZ</t>
  </si>
  <si>
    <t>JOSE OSMAR LARIOS DE LA MORA</t>
  </si>
  <si>
    <t>GRACIELA IRMA BARON MENDOZA</t>
  </si>
  <si>
    <t>OSCAR RAMIRO TORRES CHAVEZ</t>
  </si>
  <si>
    <t>SAUL ARMANDO ROLON BARAJAS</t>
  </si>
  <si>
    <t>JUANA LARIOS OROZCO</t>
  </si>
  <si>
    <t>MAURICIO ALBERTO CONTRERAS PEREZ</t>
  </si>
  <si>
    <t>MARIA DEL PILAR PANTOJA AGUILAR</t>
  </si>
  <si>
    <t>SINDICO</t>
  </si>
  <si>
    <t>CARMEN YADIRA ALCARAZ SOLORIO</t>
  </si>
  <si>
    <t xml:space="preserve">PRESIDENCIA </t>
  </si>
  <si>
    <t>PRESIDENCIA MUNICIPAL</t>
  </si>
  <si>
    <t>PRESIDENTE MUNICIPAL</t>
  </si>
  <si>
    <t>MARTIN LARIOS GARCIA</t>
  </si>
  <si>
    <t>SECRETARIO PARTICULAR</t>
  </si>
  <si>
    <t>SECRETARIA (A)</t>
  </si>
  <si>
    <t>MARIA ELENA GUERRERO PANDURO</t>
  </si>
  <si>
    <t>RECEPCIONISTA</t>
  </si>
  <si>
    <t>FABIOLA MARTINEZ CUEVAS</t>
  </si>
  <si>
    <t>SONIA YADIRA BERNABE GUTIERREZ</t>
  </si>
  <si>
    <t>CONSERJE (B)</t>
  </si>
  <si>
    <t>CONSERJE (A)</t>
  </si>
  <si>
    <t>MA CONCEPCION FLORES HERNANDEZ</t>
  </si>
  <si>
    <t>SINDICATURA</t>
  </si>
  <si>
    <t>SECRETARIA (C)</t>
  </si>
  <si>
    <t>ADELA GONZALEZ CEJA</t>
  </si>
  <si>
    <t>SAGRARIO MORFIN GARCIA</t>
  </si>
  <si>
    <t>JUZGADO MUNICIPAL</t>
  </si>
  <si>
    <t>DIRECTOR</t>
  </si>
  <si>
    <t>REGLAMENTOS</t>
  </si>
  <si>
    <t>INSPECTOR</t>
  </si>
  <si>
    <t>EFRAIN MORA DE LA MORA</t>
  </si>
  <si>
    <t>SECRETARIA GENERAL</t>
  </si>
  <si>
    <t>LENIN ALFREDO RAMIREZ MILANEZ</t>
  </si>
  <si>
    <t>SECRETARIO GENERAL</t>
  </si>
  <si>
    <t>REGISTRO CIVIL</t>
  </si>
  <si>
    <t>MARIA TERESA QUIROZ SILVA</t>
  </si>
  <si>
    <t>ODILIA MORALES MORENO</t>
  </si>
  <si>
    <t>LUZ BERTHA PANDURO ALCARAZ</t>
  </si>
  <si>
    <t>ADELAIDA VAZQUEZ FLORES</t>
  </si>
  <si>
    <t>OFICIAL AUXILIAR</t>
  </si>
  <si>
    <t>IRMA SALAZAR VAZQUEZ</t>
  </si>
  <si>
    <t>UNIDAD DE TRANSPARENCIA</t>
  </si>
  <si>
    <t>HECTOR ALONSO MORFIN HERRERA</t>
  </si>
  <si>
    <t xml:space="preserve">COORDINACION GENERAL DE ADMINISTRACION </t>
  </si>
  <si>
    <t>OFICIALIA MAYOR</t>
  </si>
  <si>
    <t>OFICIAL MAYOR</t>
  </si>
  <si>
    <t>EVARISTO SOTO CONTRERAS</t>
  </si>
  <si>
    <t>PROVEEDOR</t>
  </si>
  <si>
    <t>ADQUISICIONES</t>
  </si>
  <si>
    <t>JOSE DE JESUS MORFIN LARIOS</t>
  </si>
  <si>
    <t>NOMINA</t>
  </si>
  <si>
    <t>ENCARGADA</t>
  </si>
  <si>
    <t>ANDREA SARAHI CORONA GARCIA</t>
  </si>
  <si>
    <t>COMUNICACIÓN SOCIAL</t>
  </si>
  <si>
    <t xml:space="preserve">DIRECTOR </t>
  </si>
  <si>
    <t xml:space="preserve">ALVARO ALEJANDRO GOMEZ MARTINEZ </t>
  </si>
  <si>
    <t>CAMAROGRAFO</t>
  </si>
  <si>
    <t>FOTOGRAFO</t>
  </si>
  <si>
    <t>ESPIRIDION HERNANDEZ MORAN</t>
  </si>
  <si>
    <t>SERGIO ALBERTO ORTIZ REYES</t>
  </si>
  <si>
    <t>COMPUTO E INFORMATICA</t>
  </si>
  <si>
    <t>JEFA DE INFORMATICA</t>
  </si>
  <si>
    <t>CHRISTIAN MAYELA GUADALUPE VILLAGRANA MARTINEZ</t>
  </si>
  <si>
    <t>GERARDO ORTIZ RAMIREZ</t>
  </si>
  <si>
    <t>OBRAS PUBLICAS</t>
  </si>
  <si>
    <t>JOSE ANTONIO MACIAS CARDENAS</t>
  </si>
  <si>
    <t xml:space="preserve">SUBDIRECTOR </t>
  </si>
  <si>
    <t>SERGIO ALAN CUEVAS ARIAS</t>
  </si>
  <si>
    <t>AUXILIAR TECNICO</t>
  </si>
  <si>
    <t>ANTONIO LOPEZ CASTAÑEDA</t>
  </si>
  <si>
    <t>AUXILIAR</t>
  </si>
  <si>
    <t>MARINA CORTES GOMEZ</t>
  </si>
  <si>
    <t>AYUDANTES</t>
  </si>
  <si>
    <t>ALBERTO GONZALEZ HERNANDEZ</t>
  </si>
  <si>
    <t>AYUDANTE (A)</t>
  </si>
  <si>
    <t xml:space="preserve">MARTIN DE JESUS ANDRADE LIZARDI </t>
  </si>
  <si>
    <t>RAMON ORTIZ LICEA</t>
  </si>
  <si>
    <t>AYUDANTE (B)</t>
  </si>
  <si>
    <t>AYUDANTE (C)</t>
  </si>
  <si>
    <t>AYUDANTE (D)</t>
  </si>
  <si>
    <t>JOSE MIGUEL MARQUEZ SANDOVAL</t>
  </si>
  <si>
    <t>SERGIO SANCHEZ GARCIA</t>
  </si>
  <si>
    <t xml:space="preserve">CENSO Y CONSTRUCCION </t>
  </si>
  <si>
    <t>SALVADOR PEREZ ARIAS</t>
  </si>
  <si>
    <t>ROGELIO DE JESUS MACIAS SANCHEZ</t>
  </si>
  <si>
    <t>MARTIN ANTONIO ALVAREZ PEREZ</t>
  </si>
  <si>
    <t>AUXILIAR (A)</t>
  </si>
  <si>
    <t>AUXILIAR (B)</t>
  </si>
  <si>
    <t xml:space="preserve">JOSE DE JESUS MARTINEZ ARELLANO </t>
  </si>
  <si>
    <t>AYUDANTE (E)</t>
  </si>
  <si>
    <t>TALLER CERRAJERIA Y PINTURA</t>
  </si>
  <si>
    <t>JOSE JUAN PABLO RIVERA DIAZ</t>
  </si>
  <si>
    <t>PINTOR (A)</t>
  </si>
  <si>
    <t>J ACENCION MARTINEZ BARAJAS</t>
  </si>
  <si>
    <t>ANTONIO MARTINEZ BARAJAS</t>
  </si>
  <si>
    <t>PINTOR (B)</t>
  </si>
  <si>
    <t>SOLDADOR</t>
  </si>
  <si>
    <t>TIBURCIO OCEGUERA BERNAL</t>
  </si>
  <si>
    <t>AYUDANTE DE SOLDADOR</t>
  </si>
  <si>
    <t>MANUEL MARTIN CAMPOS ANDRADE</t>
  </si>
  <si>
    <t>ALMACENISTA</t>
  </si>
  <si>
    <t>ROBERTO SOTO RODRIGUEZ</t>
  </si>
  <si>
    <t>SERVICIOS MEDICOS MUNICIPALES</t>
  </si>
  <si>
    <t>DENTISTA</t>
  </si>
  <si>
    <t>MEDICO MUNICIPAL</t>
  </si>
  <si>
    <t>CRUZ LORENA CHAVEZ HERNANDEZ</t>
  </si>
  <si>
    <t>ENFERMERO</t>
  </si>
  <si>
    <t>NUTRIOLOGA</t>
  </si>
  <si>
    <t>AUXILIAR MEDICO MUNICIPAL</t>
  </si>
  <si>
    <t>CULTURA</t>
  </si>
  <si>
    <t>DIRECTOR GENERAL</t>
  </si>
  <si>
    <t>CASA DE CULTURA</t>
  </si>
  <si>
    <t>LIZBETH BARON MENDOZA</t>
  </si>
  <si>
    <t>SAMARIA GIZEH CHAVEZ TORRES</t>
  </si>
  <si>
    <t xml:space="preserve">PROMOTOR </t>
  </si>
  <si>
    <t>ERIKA BERENICE GONZALEZ MEJIA</t>
  </si>
  <si>
    <t>AUXILIAR BIBLIOTECA</t>
  </si>
  <si>
    <t>ANDORENY YAZMIN LOPEZ MEJIA</t>
  </si>
  <si>
    <t>SILVIA ANGUIANO AGUAYO</t>
  </si>
  <si>
    <t>INTENDENTE</t>
  </si>
  <si>
    <t>MA DEL CARMEN ACEVEDO MEJIA</t>
  </si>
  <si>
    <t>INSTRUCTOR DE MUSICA</t>
  </si>
  <si>
    <t>MIGUEL ANGEL MORA MARTINEZ</t>
  </si>
  <si>
    <t xml:space="preserve">MUSEO </t>
  </si>
  <si>
    <t>ENCARGADO</t>
  </si>
  <si>
    <t>MARISOL MEDRANO MARTINEZ</t>
  </si>
  <si>
    <t>JUAN JOSE CONTRERAS CRUZ</t>
  </si>
  <si>
    <t>INSTRUCTOR DE MARIACHI MUNICIPAL</t>
  </si>
  <si>
    <t>BERTHA ALICIA SILVA MACIAS</t>
  </si>
  <si>
    <t>INTENDENTE (A)</t>
  </si>
  <si>
    <t>INTENDENTE (B)</t>
  </si>
  <si>
    <t xml:space="preserve">EDUCACION </t>
  </si>
  <si>
    <t>ERIKA GABRIELA SOTO MENDOZA</t>
  </si>
  <si>
    <t>PAUL RICARDO DE LA MORA MACIAS</t>
  </si>
  <si>
    <t>CRONISTA</t>
  </si>
  <si>
    <t>GERARDO DAÑESTA DIAS</t>
  </si>
  <si>
    <t>RENE CHAVEZ DENIZ</t>
  </si>
  <si>
    <t>JOSE LUIS YAHUACA DELGADO</t>
  </si>
  <si>
    <t>JUAN PABLO CARDENAS MERCADO</t>
  </si>
  <si>
    <t>AURELIO LADISLAO CARDENAS CISNEROS</t>
  </si>
  <si>
    <t>CHOFER CAMION ESCOLAR (A)</t>
  </si>
  <si>
    <t>CHOFER CAMION ESCOLAR (B)</t>
  </si>
  <si>
    <t>ROMELIA CHAVEZ CHAVEZ</t>
  </si>
  <si>
    <t>COORDINACION DE DESARROLLO ECONOMICO Y COMBATE A LA DESIGUALDAD</t>
  </si>
  <si>
    <t>SONIA GUADALUPE ALCARAZ VAZQUEZ</t>
  </si>
  <si>
    <t>VALERIA ALEJANDRA LARIOS CABADAS</t>
  </si>
  <si>
    <t>JULISSA CONTRERAS CASTILLO</t>
  </si>
  <si>
    <t>TURISMO</t>
  </si>
  <si>
    <t xml:space="preserve">PROMOCION ECONOMICA </t>
  </si>
  <si>
    <t>SUBDIRECTOR</t>
  </si>
  <si>
    <t>BERTIN UBALDO HERRERA MANCILLA</t>
  </si>
  <si>
    <t>MARIA AZUCENA PANDURO PANDURO</t>
  </si>
  <si>
    <t>FOMENTO AGROPECUARIO</t>
  </si>
  <si>
    <t>JUAN MANUEL GALVAN TORRES</t>
  </si>
  <si>
    <t xml:space="preserve">EDUARDO MARTINEZ BARON </t>
  </si>
  <si>
    <t>JOSE ANGEL ALCARAZ ARELLANO</t>
  </si>
  <si>
    <t>MARTHA GONZALEZ MENDOZA</t>
  </si>
  <si>
    <t>RODRIGO MENDOZA VARGAS</t>
  </si>
  <si>
    <t>OPERADOR MOTOCONFORMADORA</t>
  </si>
  <si>
    <t>JUAN MANUEL HERNANDEZ HUERTA</t>
  </si>
  <si>
    <t>OPERADOR RETROEXCAVADORA</t>
  </si>
  <si>
    <t>LUIS VALDOVINOS SANDOVAL</t>
  </si>
  <si>
    <t>OPERADOR MAQUINA D-6</t>
  </si>
  <si>
    <t xml:space="preserve">J TRINIDAD HERNANDEZ PIMENTEL </t>
  </si>
  <si>
    <t>VICTORIA LARA CISNEROS</t>
  </si>
  <si>
    <t>PROMOTOR DE SALUD</t>
  </si>
  <si>
    <t>CHOFER CENTRO DE SALUD</t>
  </si>
  <si>
    <t>JOSE MARIA LICEA RIVERA</t>
  </si>
  <si>
    <t>AGUA POTABLE</t>
  </si>
  <si>
    <t>OSCAR MARIO CHAVEZ DOÑAN</t>
  </si>
  <si>
    <t>DIEGO PANDURO TENORIO</t>
  </si>
  <si>
    <t>VERONICA VAZQUEZ FLORES</t>
  </si>
  <si>
    <t>FRANCISCO JAVIER AGUILAR NAVARRETE</t>
  </si>
  <si>
    <t>RAMON OROZCO FLORES</t>
  </si>
  <si>
    <t>EMPEDRADOR</t>
  </si>
  <si>
    <t>ADOLFO EVANGELISTA CHAVEZ</t>
  </si>
  <si>
    <t>SERVICIOS GENERALES</t>
  </si>
  <si>
    <t>J JESUS BARAJAS FLORES</t>
  </si>
  <si>
    <t>CHOFER CAMION ESCOLAR (C)</t>
  </si>
  <si>
    <t>MIGUEL ANGEL OCHOA MUÑIZ</t>
  </si>
  <si>
    <t>MENSAJERO</t>
  </si>
  <si>
    <t>MARCO URIEL HERNANDEZ REBOLLEDO</t>
  </si>
  <si>
    <t>PARQUES Y JARDINES</t>
  </si>
  <si>
    <t>JAIRO TOMAS MEZA LOPEZ</t>
  </si>
  <si>
    <t>ADAN CERVANTES CASTILLO</t>
  </si>
  <si>
    <t>SERGIO LOPEZ RODRIGUEZ</t>
  </si>
  <si>
    <t>JOSE BARAJAS FLORES</t>
  </si>
  <si>
    <t>JUAN CARLOS CORTES GALVEZ</t>
  </si>
  <si>
    <t>GUSTAVO GUADALUPE DIAZ RODRIGUEZ</t>
  </si>
  <si>
    <t>FRANCISCO JAVIER PANDURO MONTES DE OCA</t>
  </si>
  <si>
    <t>ALUMBRADO PUBLICO</t>
  </si>
  <si>
    <t xml:space="preserve">JEFE </t>
  </si>
  <si>
    <t>JULIO HUMBERTO GUEVARA RODRIGUEZ</t>
  </si>
  <si>
    <t>FRANCISCO GOMEZ MARTINEZ</t>
  </si>
  <si>
    <t>ENCARGADO PARQUE MUNICIPAL</t>
  </si>
  <si>
    <t>MANUEL BARAJAS MENDOZA</t>
  </si>
  <si>
    <t>RASTRO</t>
  </si>
  <si>
    <t>JORGE SALVADOR PEREZ ZEPEDA</t>
  </si>
  <si>
    <t>FRANCISCO JAVIER CUEVAS LICEA</t>
  </si>
  <si>
    <t>VETERINARIO</t>
  </si>
  <si>
    <t>ENRIQUE MUÑIZ GARCIA</t>
  </si>
  <si>
    <t>VELADOR</t>
  </si>
  <si>
    <t>CEMENTERIO</t>
  </si>
  <si>
    <t>SALVADOR MEZA VAZQUEZ</t>
  </si>
  <si>
    <t>MECANICO</t>
  </si>
  <si>
    <t>JOSE DE JESUS MARTINEZ CORTES</t>
  </si>
  <si>
    <t>CHOFER (B)</t>
  </si>
  <si>
    <t>ISIDRO CARDENAS MORFIN</t>
  </si>
  <si>
    <t>MIGUEL ANGEL ANGUIANO MONTES DE OCA</t>
  </si>
  <si>
    <t>PLANEACIÒN Y PARTICIPACIÒN CIUDADANA</t>
  </si>
  <si>
    <t xml:space="preserve"> PROYECTOS ESTRATEGICOS</t>
  </si>
  <si>
    <t xml:space="preserve"> VINCULACION CON PROGRAMAS FEDERALES</t>
  </si>
  <si>
    <t>COORDINACION DE HACIENDA PUBLICA MUNICIPAL</t>
  </si>
  <si>
    <t>HACIENDA PUBLICA MUNICIPAL</t>
  </si>
  <si>
    <t>PEDRO PEREGRINO LOPEZ</t>
  </si>
  <si>
    <t>ABIMAEL ALEJANDRO CUEVAS MARTINEZ</t>
  </si>
  <si>
    <t>CARLOS MANUEL ORTIZ PANDURO</t>
  </si>
  <si>
    <t>JEFA</t>
  </si>
  <si>
    <t>ENCARGADO CUENTA PUBLICA</t>
  </si>
  <si>
    <t>ENCARGADO CONTABILIDAD</t>
  </si>
  <si>
    <t>ROSA BIBIANA VALENCIA VARGAS</t>
  </si>
  <si>
    <t>HUGO CASTILLO MARTINEZ</t>
  </si>
  <si>
    <t>RECAUDADOR</t>
  </si>
  <si>
    <t>JEFE</t>
  </si>
  <si>
    <t>CARLOS URIEL CUEVAS LUNA</t>
  </si>
  <si>
    <t xml:space="preserve">KARINA JIMENEZ VARGAS </t>
  </si>
  <si>
    <t>DEPARTAMENTO DE IMPUESTOS Y PREDIAL</t>
  </si>
  <si>
    <t>JEFE DE CATASTRO</t>
  </si>
  <si>
    <t>MIGUEL ANGEL CASTILLO ELIZONDO</t>
  </si>
  <si>
    <t>CAJERA</t>
  </si>
  <si>
    <t>CECILIA GUADALUPE JIMENEZ PANDURO</t>
  </si>
  <si>
    <t>ALEJANDRO MEZA BARAJAS</t>
  </si>
  <si>
    <t>COORDINACION DE SERVICIOS PUBLICOS MUNICIPALES</t>
  </si>
  <si>
    <t>JORGE ALEJANDRO CARDENAS ROSALES</t>
  </si>
  <si>
    <t>VICTOR MANUEL SOTO JIMENEZ</t>
  </si>
  <si>
    <t xml:space="preserve">MA VERONICA RODRIGUEZ BUENROSTRO </t>
  </si>
  <si>
    <t>JOSEFINA CARDENAS BARAJAS</t>
  </si>
  <si>
    <t>LUCILA MORA RANGEL</t>
  </si>
  <si>
    <t>OFICIAL DE REGISTRO CIVIL</t>
  </si>
  <si>
    <t>JARDINERO</t>
  </si>
  <si>
    <t>RADIO OPERADOR</t>
  </si>
  <si>
    <t>CELSO RODRIGUEZ MARTINEZ</t>
  </si>
  <si>
    <t>DELEGACION AHUIJULLO</t>
  </si>
  <si>
    <t xml:space="preserve">DELEGADO </t>
  </si>
  <si>
    <t>AGENCIA LA PURISIMA</t>
  </si>
  <si>
    <t xml:space="preserve">AGENTE </t>
  </si>
  <si>
    <t>LIDIA MARTINEZ VALDOVINOS</t>
  </si>
  <si>
    <t>AGENCIA SANTIAGO</t>
  </si>
  <si>
    <t>FONTANERO</t>
  </si>
  <si>
    <t>JOSE ENRIQUE SALAZAR VAZQUEZ</t>
  </si>
  <si>
    <t>MARIA ISABEL ORONA ZARATE</t>
  </si>
  <si>
    <t>DAVID LIZARDI RIVERA</t>
  </si>
  <si>
    <t>INTENDENTE CASA DE SALUD</t>
  </si>
  <si>
    <t>MA CARMEN MORFIN MENDOZA</t>
  </si>
  <si>
    <t xml:space="preserve">ECOLOGIA </t>
  </si>
  <si>
    <t>HERIBERTO FLORES CUEVAS</t>
  </si>
  <si>
    <t>OCTAVIO BARAJAS MORFIN</t>
  </si>
  <si>
    <t>COORDINACION DE POLICIA PREVENTIVA MUNICIPAL</t>
  </si>
  <si>
    <t>SEGURIDAD PUBLICA</t>
  </si>
  <si>
    <t>RAMIRO TORRES CHAVEZ</t>
  </si>
  <si>
    <t>COMANDANTE DE TURNO</t>
  </si>
  <si>
    <t>POLICIA MUNICIPAL</t>
  </si>
  <si>
    <t>UNIDAD DE PROTECCION CIVIL</t>
  </si>
  <si>
    <t>JACINTO DE LOS SANTOS CHAVEZ</t>
  </si>
  <si>
    <t>JOSE GUADALUPE AGUIRRE ZUÑIGA</t>
  </si>
  <si>
    <t>EDER MARTIN LOPEZ MEJIA</t>
  </si>
  <si>
    <t>RAUL SUAREZ ARANDA</t>
  </si>
  <si>
    <t>SABINO OSVALDO VAZQUEZ REYES</t>
  </si>
  <si>
    <t xml:space="preserve">JOSE DE JESUS MATA MORFIN </t>
  </si>
  <si>
    <t>SERGIO SANCHEZ MORFIN</t>
  </si>
  <si>
    <t xml:space="preserve">VIALIDAD </t>
  </si>
  <si>
    <t>ANGEL MEZA LOPEZ</t>
  </si>
  <si>
    <t>OFICIALES</t>
  </si>
  <si>
    <t>AUXILIARES</t>
  </si>
  <si>
    <t>GONZALO RAMIREZ RAMIREZ</t>
  </si>
  <si>
    <t>SECRETARIA  (B)</t>
  </si>
  <si>
    <t>RAQUEL ARELLANO CONTRERAS</t>
  </si>
  <si>
    <t>INSTITUTO DE LA JUVENTUD</t>
  </si>
  <si>
    <t>YESENIA JULISSA ALVAREZ PEREZ</t>
  </si>
  <si>
    <t>JORGE ELIAN ARREGUIN LICEA</t>
  </si>
  <si>
    <t>MARIA GUADALUPE LARIOS GARCIA</t>
  </si>
  <si>
    <t>JOSE ANGEL ARRIAGA HERNANDEZ</t>
  </si>
  <si>
    <t>PROMOTOR (A)</t>
  </si>
  <si>
    <t>PROMOTOR (B)</t>
  </si>
  <si>
    <t>JOSE LUIS MUNGUIA VALENCIA</t>
  </si>
  <si>
    <t>CONSEJO MUNICIPAL DEL DEPORTE</t>
  </si>
  <si>
    <t>PROMOTOR (C)</t>
  </si>
  <si>
    <t>JUAN CARLOS SANCHEZ MORENO</t>
  </si>
  <si>
    <t>JOAQUIN LOPEZ BAEZA</t>
  </si>
  <si>
    <t>ALEJANDRO RAMOS ACEVEDO</t>
  </si>
  <si>
    <t>FIDEL GOMEZ MEJIA</t>
  </si>
  <si>
    <t>JARDINERO CANCHA SAN JUAN</t>
  </si>
  <si>
    <t>JUAN FLORES AVALOS</t>
  </si>
  <si>
    <t>ENCARGADO CANCHA EJIDAL</t>
  </si>
  <si>
    <t>JESUS VENUSTIANO ROMERO VARGAS</t>
  </si>
  <si>
    <t>ENCARGADO CANCHA LA LOMA</t>
  </si>
  <si>
    <t>EVERARDO CONTRERAS GARCIA</t>
  </si>
  <si>
    <t>ENCARGADO DE POLIDEPORTIVO</t>
  </si>
  <si>
    <t>LUCIANO DIAZ PANDURO</t>
  </si>
  <si>
    <t>LUIS ENRIQUE MACIAS CEBALLOS</t>
  </si>
  <si>
    <t>GUILLERMO CORTES AGUILAR</t>
  </si>
  <si>
    <t>RECOLECTOR (A)</t>
  </si>
  <si>
    <t>RECOLECTOR (B)</t>
  </si>
  <si>
    <t>JAVIER MONJE DIAZ</t>
  </si>
  <si>
    <t>RIGOBERTO CAMPOS CHAVEZ</t>
  </si>
  <si>
    <t>RECOLECTOR (C)</t>
  </si>
  <si>
    <t>ADAN CERVANTES MORENO</t>
  </si>
  <si>
    <t>EMMANUEL MUNGUIA SANCHEZ</t>
  </si>
  <si>
    <t>ANTONIO BARAJAS LICEA</t>
  </si>
  <si>
    <t>BARRENDERO (A)</t>
  </si>
  <si>
    <t>BARRENDERO (B)</t>
  </si>
  <si>
    <t>JARDINERO (A)</t>
  </si>
  <si>
    <t>JOSE DE JESUS BARAJAS CHAVEZ</t>
  </si>
  <si>
    <t>CHOFER RECOLECTOR (A)</t>
  </si>
  <si>
    <t>MANUEL MEJIA MURGUIA</t>
  </si>
  <si>
    <t>CHOFER RECOLECTOR (B)</t>
  </si>
  <si>
    <t>RAMIRO REBOLLEDO DELGADILLO</t>
  </si>
  <si>
    <t>ANTONIO PEREZ VARGAS</t>
  </si>
  <si>
    <t>MIGUEL ANGEL HERNANDEZ HUERTA</t>
  </si>
  <si>
    <t>EDSON DE JESUS ABUNDIS SOTO</t>
  </si>
  <si>
    <t>ROSENDO GUTIERREZ MUNGUIA</t>
  </si>
  <si>
    <t>LUZ BERTHA OCEGUERA SANCHEZ</t>
  </si>
  <si>
    <t>EDITH ANAYA MARTINEZ</t>
  </si>
  <si>
    <t>INTENDENTE COMPLEJO ADMINISTRATIVO</t>
  </si>
  <si>
    <t>FRANCISCO JAVIER CERNA PADILLA</t>
  </si>
  <si>
    <t>NORA RIVERA NEGRETE</t>
  </si>
  <si>
    <t>INTENDENTE BAÑOS PUBLICOS</t>
  </si>
  <si>
    <t>INTENDENTE CADER</t>
  </si>
  <si>
    <t>SUSANA ESMERALDA HERRERA MARTINEZ</t>
  </si>
  <si>
    <t>VELADOR MERCADO MUNICIPAL</t>
  </si>
  <si>
    <t>JAVIER RANGEL GARCIA</t>
  </si>
  <si>
    <t>ADAN GALLEGOS ROMERO</t>
  </si>
  <si>
    <t>GUSTAVO MEDINA VARGAS</t>
  </si>
  <si>
    <t>COORDINACION DE CONSTRUCCION DE COMUNIDAD Y DESARROLLO INTEGRAL</t>
  </si>
  <si>
    <t>RADIO CULTURAL</t>
  </si>
  <si>
    <t>VINCULACION INSTITUCIONAL</t>
  </si>
  <si>
    <t>JEFE ADMINISTRATIVO (B)</t>
  </si>
  <si>
    <t>CARLOS ALFONSO ANGUIANO CHAVEZ</t>
  </si>
  <si>
    <t>AUXILIAR ADMINISTRATIVO (A)</t>
  </si>
  <si>
    <t>AUXILIAR ADMINISTRATIVO (B)</t>
  </si>
  <si>
    <t xml:space="preserve">RAFAEL PARTIDA MORENO </t>
  </si>
  <si>
    <t>HERIBERTO LOPEZ MARTINEZ</t>
  </si>
  <si>
    <t>REXAYEN CARRASCO MORENO</t>
  </si>
  <si>
    <t>SALVADOR JIMENEZ LARA</t>
  </si>
  <si>
    <t>GREGORIO JIMENEZ LARA</t>
  </si>
  <si>
    <t>FONTANEROS</t>
  </si>
  <si>
    <t>LEONARDO CUEVAS SOLORIO</t>
  </si>
  <si>
    <t xml:space="preserve">ARNOLDO TORRES MENDOZA </t>
  </si>
  <si>
    <t>JUAN HERNANDEZ MALDONADO</t>
  </si>
  <si>
    <t>RICARDO SANCHEZ PANDURO</t>
  </si>
  <si>
    <t>ABEL ARIAS UREÑA</t>
  </si>
  <si>
    <t>ANTONIO GARCIA CASARES</t>
  </si>
  <si>
    <t>OCTAVIO LUNA DIAZ</t>
  </si>
  <si>
    <t>SAUL JIMENEZ LARA</t>
  </si>
  <si>
    <t>MARTIN DIAZ</t>
  </si>
  <si>
    <t>ANGEL CORONA MUÑOZ</t>
  </si>
  <si>
    <t>ROQUE PLACENCIA SALAZAR</t>
  </si>
  <si>
    <t>J JESUS PARTIDA MORENO</t>
  </si>
  <si>
    <t>BARRENDERO (C)</t>
  </si>
  <si>
    <t>INTENDENTE DEL MERCADO MPAL</t>
  </si>
  <si>
    <t>ARTURO FLORES LUPERCIO</t>
  </si>
  <si>
    <t>JEFE DE TURNO (A)</t>
  </si>
  <si>
    <t>JEFE DE TURNO (B)</t>
  </si>
  <si>
    <t>AUXILIAR (C)</t>
  </si>
  <si>
    <t>ALEJANDRO CRUZ MEDRANO CLAUSTRO</t>
  </si>
  <si>
    <t xml:space="preserve">AYUDANTE </t>
  </si>
  <si>
    <t>RAUL AGUILAR RODRIGUEZ</t>
  </si>
  <si>
    <t>ANGEL ALEXIS BERNAL BARAJAS</t>
  </si>
  <si>
    <t xml:space="preserve">ASESOR </t>
  </si>
  <si>
    <t>JUAN CARLOS ARELLANO CASILLAS</t>
  </si>
  <si>
    <t>ROBERTO LICEA SOLORZANO</t>
  </si>
  <si>
    <t>SECRETARIOS TECNICOS</t>
  </si>
  <si>
    <t>JOSE ANTONIO CEDEÑO FLORES</t>
  </si>
  <si>
    <t>INTENDENTE AUDITORIO MUNICIPAL</t>
  </si>
  <si>
    <t>RECOLECTOR (D)</t>
  </si>
  <si>
    <t>JULIO CESAR MORENO CUEVAS</t>
  </si>
  <si>
    <t>FRANCISCO VALENCIA BARON</t>
  </si>
  <si>
    <t>OPER. MAQ. CATERPILLAR</t>
  </si>
  <si>
    <t>JOSE DE JESUS CARVAJAL CHOCOTECO</t>
  </si>
  <si>
    <t>JUBILADOS</t>
  </si>
  <si>
    <t>JUBILADO</t>
  </si>
  <si>
    <t>CARDENAS GARCIA LUZ ADRIANA</t>
  </si>
  <si>
    <t>PARBU CORONA NIVARDO</t>
  </si>
  <si>
    <t>GONZALEZ GONZALEZ J. JESUS</t>
  </si>
  <si>
    <t>TORRES JIMENEZ ALVARO</t>
  </si>
  <si>
    <t>GARCIA MENDOZA MARIA MERCED</t>
  </si>
  <si>
    <t>ORTIZ SOLORIO J. GUADALUPE</t>
  </si>
  <si>
    <t>TORRES PANDURO MARTHA</t>
  </si>
  <si>
    <t xml:space="preserve">GOMEZ ARIAS ELIAS </t>
  </si>
  <si>
    <t xml:space="preserve">CORTES MARTINEZ J. ENCARNACION </t>
  </si>
  <si>
    <t>JIMENEZ LARIOS ANTONIO</t>
  </si>
  <si>
    <t>ARIAS UREÑA ALFREDO</t>
  </si>
  <si>
    <t>CHAVEZ NAJAR J ANGUEL</t>
  </si>
  <si>
    <t>CHAVEZ GONZALES MA ESTHER</t>
  </si>
  <si>
    <t>JIMENEZ LARIOS JOSE</t>
  </si>
  <si>
    <t>PANDURO QUEZADA SALVADOR</t>
  </si>
  <si>
    <t>MORALES MORENO MARICELA</t>
  </si>
  <si>
    <t>DEPORTES</t>
  </si>
  <si>
    <t>CHOFER (A)</t>
  </si>
  <si>
    <t>CELEDONIA GONZALEZ GOMEZ</t>
  </si>
  <si>
    <t>SUBDIRECTOR OPERATIVO</t>
  </si>
  <si>
    <t>ARMANDO BARRAGAN LOZOYA</t>
  </si>
  <si>
    <t>CUBRE VACACIONES</t>
  </si>
  <si>
    <t>AYUDANTE (F)</t>
  </si>
  <si>
    <t>PRESTACIONES</t>
  </si>
  <si>
    <t>ISR/100%</t>
  </si>
  <si>
    <t>IMSS</t>
  </si>
  <si>
    <t xml:space="preserve">TOTAL </t>
  </si>
  <si>
    <t>SUBS. AL EMPLEO</t>
  </si>
  <si>
    <t>DEDUCCIONES</t>
  </si>
  <si>
    <t>APORT. VOLUNTARIA</t>
  </si>
  <si>
    <t>TOTAL PREST.</t>
  </si>
  <si>
    <t>TOTAL DEDUC.</t>
  </si>
  <si>
    <t>NETO A PAGAR</t>
  </si>
  <si>
    <t>FIRMA DE CONFORMIDAD</t>
  </si>
  <si>
    <t>DIAS TRAB.</t>
  </si>
  <si>
    <t>TOTAL NOMINA GENERAL</t>
  </si>
  <si>
    <t>TOTAL NOMINA JUBILADOS</t>
  </si>
  <si>
    <t>TOTAL NOMINA SEGURIDAD PREVENTIVA, PROTECCION CIVIL Y VIALIDAD</t>
  </si>
  <si>
    <t>TOTAL NOMINA DIETAS</t>
  </si>
  <si>
    <t>SERGIO ALBERTO RAMOS MEDRANO</t>
  </si>
  <si>
    <t>JAVIER GONZALEZ CARDENAS</t>
  </si>
  <si>
    <t>CUOTA SIND.</t>
  </si>
  <si>
    <t>OSBALDO TORRES URENDA</t>
  </si>
  <si>
    <t>AUX. CEMENTERIO</t>
  </si>
  <si>
    <t>CONTRALOR</t>
  </si>
  <si>
    <t>CONTRALORIA</t>
  </si>
  <si>
    <t>ARACELI GUTIERREZ GALVEZ</t>
  </si>
  <si>
    <t>TOTAL NOMINA EVENTUAL</t>
  </si>
  <si>
    <t>TOTAL NOMINA CUMUDE</t>
  </si>
  <si>
    <t>VACANTE</t>
  </si>
  <si>
    <t>MARIA LUZ  DE LA MORA MORFIN</t>
  </si>
  <si>
    <t>ALEJANDRO LOPEZ HERRERA</t>
  </si>
  <si>
    <t>M MERCEDES MEDRANO CARDENAS</t>
  </si>
  <si>
    <t>JESUS CHAVEZ LOPEZ</t>
  </si>
  <si>
    <t>JORGE ALBERTO CORDOVA CORTES</t>
  </si>
  <si>
    <t>TOMAS GARCIA GUERRERO</t>
  </si>
  <si>
    <t>CARLOS EDUARDO HERNANDEZ VILLASEÑOR</t>
  </si>
  <si>
    <t>J. NATIVIDAD BARAJAS CARDENAS</t>
  </si>
  <si>
    <t>BARRENDERO</t>
  </si>
  <si>
    <t>REYNALDO CAMPOS ANDRADE</t>
  </si>
  <si>
    <t>GENERAL</t>
  </si>
  <si>
    <t>TOTAL NOMINAS DIETAS, GENERAL, JUBILADOS Y SEGURIDAD PUBLICA.</t>
  </si>
  <si>
    <t>EVENTUALES</t>
  </si>
  <si>
    <t>COMUDE</t>
  </si>
  <si>
    <t>DANELIA LOPEZ MEJIA</t>
  </si>
  <si>
    <t>CHOFER</t>
  </si>
  <si>
    <t>RAUL PEREZ PANDURO</t>
  </si>
  <si>
    <t>POLICIA PREVENTIVA MUNICIPAL</t>
  </si>
  <si>
    <t>ENC. DE OFIC. (INSPECTOR AGRICOLA)</t>
  </si>
  <si>
    <t>COORDINACION DE INSTITUTOS SOCIALES</t>
  </si>
  <si>
    <t>JORGE ENRIQUE URZUA CUEVAS</t>
  </si>
  <si>
    <t>TOTAL NOMINA DIETAS, GENERAL Y JUBILADOS</t>
  </si>
  <si>
    <t>GERARDO GARCIA CORDOVA</t>
  </si>
  <si>
    <t>AUX. ADMINISTRATIVO  (A)</t>
  </si>
  <si>
    <t>ENC. DE COMPUTO E INFORMATICA</t>
  </si>
  <si>
    <t>ENC. DE SISTEMAS</t>
  </si>
  <si>
    <t>ENC. UNIDAD DEPORTIVA T/V</t>
  </si>
  <si>
    <t>ENC. UNIDAD DEPORTIVA T/M</t>
  </si>
  <si>
    <t xml:space="preserve">MTTO. VEHICULAR </t>
  </si>
  <si>
    <t>DPTO. DE INGRESOS</t>
  </si>
  <si>
    <t>DPTO. DE EGRESOS</t>
  </si>
  <si>
    <t>INST. DEL ADULTO MAYOR</t>
  </si>
  <si>
    <t>ENC. DE VALVULA LA MISERIA</t>
  </si>
  <si>
    <t>ENC. DE ALCANTARILLADO</t>
  </si>
  <si>
    <t>ENC. DE BOMBAS (B)</t>
  </si>
  <si>
    <t>ENC. DE BOMBAS (A)</t>
  </si>
  <si>
    <t>TECNICO EN MTTO (A)</t>
  </si>
  <si>
    <t>TECNICO EN MTTO (B)</t>
  </si>
  <si>
    <t>ENC. DE MAQUINARIA</t>
  </si>
  <si>
    <t>ENC. BIBLIOTECA T/V</t>
  </si>
  <si>
    <t>ENC. BIBLIOTECA T/M</t>
  </si>
  <si>
    <t>ENC. DE LOGISTICA Y DECORACION</t>
  </si>
  <si>
    <t>ENC. DE PROYECTOS</t>
  </si>
  <si>
    <t>INSTRUCTORA DE AEROBICS</t>
  </si>
  <si>
    <t>MARICELA MEZA SALARZAR</t>
  </si>
  <si>
    <t>CASA DE LA CULTURA</t>
  </si>
  <si>
    <t>ADRIANA GUADALUPE FIGUEROA BECERRA</t>
  </si>
  <si>
    <t>PROTECCION CIVIL</t>
  </si>
  <si>
    <t>OFICIAL</t>
  </si>
  <si>
    <t>ADRIAN ALCARAZ JIMENEZ</t>
  </si>
  <si>
    <t>JUAN CARLOS PANDURO ARELLANO</t>
  </si>
  <si>
    <t>TERESA ALCARAZ CORTES</t>
  </si>
  <si>
    <t>OPERADOR CATERPILLAR</t>
  </si>
  <si>
    <t>ALFREDO ALCARAZ LOPEZ</t>
  </si>
  <si>
    <t>dietas</t>
  </si>
  <si>
    <t>sueldo permanente</t>
  </si>
  <si>
    <t>sueldo eventual</t>
  </si>
  <si>
    <t>jubilaciones</t>
  </si>
  <si>
    <t>subsidio</t>
  </si>
  <si>
    <t>imss</t>
  </si>
  <si>
    <t>isr</t>
  </si>
  <si>
    <t>cuota sindical</t>
  </si>
  <si>
    <t>aportacion voluntaria</t>
  </si>
  <si>
    <t>servicios personales por pagar</t>
  </si>
  <si>
    <t xml:space="preserve">subsidio </t>
  </si>
  <si>
    <t>aportaciones vol</t>
  </si>
  <si>
    <t>serv. Personales</t>
  </si>
  <si>
    <t>sp y pc</t>
  </si>
  <si>
    <t>DESCUENTO PRESTAMO</t>
  </si>
  <si>
    <t>DESCUENTO PRETSAMO</t>
  </si>
  <si>
    <t>MARIA DE JESUS LOPEZ AVALOS</t>
  </si>
  <si>
    <t>ECOLOGIA</t>
  </si>
  <si>
    <t>ISABEL RANGEL GARCIA</t>
  </si>
  <si>
    <t>AFANADORA</t>
  </si>
  <si>
    <t>ENCARGADO PARQUE VEHICULAR</t>
  </si>
  <si>
    <t>FERNANDO ORTIZ MENDOZA</t>
  </si>
  <si>
    <t>PRESIDENCIA</t>
  </si>
  <si>
    <t>AUXILIAR DE ENFERMERIA</t>
  </si>
  <si>
    <t>IRASEMA CERVANTES MORENO</t>
  </si>
  <si>
    <t>AFANADORA B</t>
  </si>
  <si>
    <t>AGUA POTABLE Y ALCANTARILLADO</t>
  </si>
  <si>
    <t>ENCARGADO DE BOMBAS</t>
  </si>
  <si>
    <t>JOSE CHAVEZ BARAJAS</t>
  </si>
  <si>
    <t>LUMBREROS</t>
  </si>
  <si>
    <t>MIGUEL ANGEL CEBALLOS CHAVEZ</t>
  </si>
  <si>
    <t>J BARTOLO VALENCIA MACIAS</t>
  </si>
  <si>
    <t>MIGUEL CASILLAS RENDON</t>
  </si>
  <si>
    <t>GERMAN SOTO LICEA</t>
  </si>
  <si>
    <t>IRMA GRACIELA CARDENAS BARON</t>
  </si>
  <si>
    <t>AYUDANTE</t>
  </si>
  <si>
    <t>JOSE LUIS SOTO ANAYA</t>
  </si>
  <si>
    <t>JOSE GUADALUPE SOTO PANDURO</t>
  </si>
  <si>
    <t>PROMOTOR DEPORTIVO</t>
  </si>
  <si>
    <t>JORGE ADRIAN CARDENAS IBAÑEZ</t>
  </si>
  <si>
    <t>CARLOS ALDAIR MANCILLA REYES</t>
  </si>
  <si>
    <t>CARLOS ADAN CRUZ TEJEDA</t>
  </si>
  <si>
    <t>JEFE EN TURNO (A)</t>
  </si>
  <si>
    <t>ROGELIO OSEGUERA CHACON</t>
  </si>
  <si>
    <t>JOVANA LUCERO MUNGUIA MORFIN</t>
  </si>
  <si>
    <t>MA. GUADALUPE BARAJAS GARCIA</t>
  </si>
  <si>
    <t>RAMO 20</t>
  </si>
  <si>
    <t>ENCARGADO APOYOS SOCIALES</t>
  </si>
  <si>
    <t>JUAN JOSE DIAZ MARQUEZ</t>
  </si>
  <si>
    <t>AUXILIAR ADMINISTRATIVO</t>
  </si>
  <si>
    <t>JEFE DE GABINETE</t>
  </si>
  <si>
    <t>ISMAEL ORTA GOMEZ</t>
  </si>
  <si>
    <t>OPERADOR DE MAQUINA</t>
  </si>
  <si>
    <t>SANTIAGO JAVIER PIMENTEL LOPEZ</t>
  </si>
  <si>
    <t>OFICIALIA</t>
  </si>
  <si>
    <t>SECRETARIA</t>
  </si>
  <si>
    <t>LAURA MATILDE MADRIGAL MORFIN</t>
  </si>
  <si>
    <t>MARIA CONCEPCION ARTEAGA RODRIGUEZ</t>
  </si>
  <si>
    <t>MAYRA ALEJANDRA MENDOZA SANCHEZ</t>
  </si>
  <si>
    <t>HECTOR ALDANA VALDOVINOS</t>
  </si>
  <si>
    <t>OPERADOR DE MAQUINARIA</t>
  </si>
  <si>
    <t>FELIPE DE JESUS URZUA CHAVEZ</t>
  </si>
  <si>
    <t>ENCARGADO DE SISTEMAS</t>
  </si>
  <si>
    <t>LUZ BERTHA GARCIA DIAZ</t>
  </si>
  <si>
    <t>PEDRO FLORES OROZCO</t>
  </si>
  <si>
    <t>JUAN FERNANDO MENDEZ RANGEL</t>
  </si>
  <si>
    <t>CESAR ANDRES DENIZ RIVERA</t>
  </si>
  <si>
    <t>EDUWIGES MONTERO MORFIN</t>
  </si>
  <si>
    <t>MA.GUADALUPE JIMENEZ SANCHEZ</t>
  </si>
  <si>
    <t>ZENAIDA CARDENAS ALCARAZ</t>
  </si>
  <si>
    <t>AUXILIAR DE RADIO</t>
  </si>
  <si>
    <t>MA GUADALUPE OLIVERA RODRIGUEZ</t>
  </si>
  <si>
    <t>ENFERMERA</t>
  </si>
  <si>
    <t>MARIA DE JESUS PEREZ GONZALEZ</t>
  </si>
  <si>
    <t>CRISTIAN MENDOZA DE LIRA</t>
  </si>
  <si>
    <t xml:space="preserve">MARICELA DELGADILLO MACIAS </t>
  </si>
  <si>
    <t>RIGOBERTO SANCHEZ MORFIN</t>
  </si>
  <si>
    <t>TRANSPORTADOR DE CARNES</t>
  </si>
  <si>
    <t>JUAN CARLOS LOPEZ GALLEGOS</t>
  </si>
  <si>
    <t>YESIKA DAENA MORFIN LARIOS</t>
  </si>
  <si>
    <t>RECOLECTOR</t>
  </si>
  <si>
    <t xml:space="preserve">ANGEL ALVAREZ JIMENEZ </t>
  </si>
  <si>
    <t xml:space="preserve">RAMON BERNARDINO GOMEZ </t>
  </si>
  <si>
    <t xml:space="preserve">J JESUS LICEA CASTILLO </t>
  </si>
  <si>
    <t>ELIZABETH JIMENEZ VARGAS (Licencia)</t>
  </si>
  <si>
    <t>JUAN PEDRO LOPEZ CASTAÑEDA</t>
  </si>
  <si>
    <t>VIALIDAD</t>
  </si>
  <si>
    <t>RICARDO GARCIA ORTIZ</t>
  </si>
  <si>
    <t>LUIS ENRIQUE BARAJAS MARTINEZ</t>
  </si>
  <si>
    <t>DELEGACION LA MISERIA</t>
  </si>
  <si>
    <t>MARIA DEL ROSARIO CHAVEZ DEL TORO</t>
  </si>
  <si>
    <t>OSCAR MANUEL ALCARAZ ROSAS</t>
  </si>
  <si>
    <t>JENIFFER IBARRA CARDENAS</t>
  </si>
  <si>
    <t>PARAMEDICO</t>
  </si>
  <si>
    <t>CHOFER AMBULANCIA</t>
  </si>
  <si>
    <t xml:space="preserve">JORGE RAMIRO BARBOZA TORRES </t>
  </si>
  <si>
    <t>MARIA GRICELDA VAZQUEZ HERRERA</t>
  </si>
  <si>
    <t>ERIKA LILI MORFIN LARIOS</t>
  </si>
  <si>
    <t>BERTHA BELINDA CAMPOS ANDRADE</t>
  </si>
  <si>
    <t>RICARDO LOPEZ CHAVEZ</t>
  </si>
  <si>
    <t>MARIA CELIA GONZALEZ CEJA</t>
  </si>
  <si>
    <t>PROYECTOS ESTRATEGICOS</t>
  </si>
  <si>
    <t>ANA LAURA FLORES LUNA</t>
  </si>
  <si>
    <t>SERGIO QUIROGA CEBALLOS</t>
  </si>
  <si>
    <t>ANTONIO LOPEZ MEJIA</t>
  </si>
  <si>
    <t>FRANCISCO ROJO LARIOS</t>
  </si>
  <si>
    <t>KARLA JESUS JIMENEZ GONZALEZ</t>
  </si>
  <si>
    <t>JUANA LETICIA VARGAS CUEVAS</t>
  </si>
  <si>
    <t>BRIAN SAUL JIMENEZ ARELLANO</t>
  </si>
  <si>
    <t>CARLOS GOMEZ ARIAS</t>
  </si>
  <si>
    <t>MA DE LA LUZ JIMENEZ LARA</t>
  </si>
  <si>
    <t>MARTIN ALVAREZ RIOS</t>
  </si>
  <si>
    <t>OSCAR SERAFIN LARIOS VILLEGAS</t>
  </si>
  <si>
    <t>ALEJANDRO SANCHEZ GARCIA</t>
  </si>
  <si>
    <t>VICTORIANA BUENROSTRO DIAZ</t>
  </si>
  <si>
    <t>JUAN CARLOS ARELLANO MARTINEZ</t>
  </si>
  <si>
    <t>ADRIANA MARIA CUEVAS LUNA</t>
  </si>
  <si>
    <t>MIGUEL ANGEL OLIVERA ALCARAZ</t>
  </si>
  <si>
    <t xml:space="preserve">ADRIANA FABIOLA CEBALLOS MARTINEZ </t>
  </si>
  <si>
    <t>CARLOS CORONA ARELLANO</t>
  </si>
  <si>
    <t>VICTOR MANUEL MEZA SALAZAR</t>
  </si>
  <si>
    <t>FERMIN ROSAS AMEZCUA</t>
  </si>
  <si>
    <t>CESAR ALEJANDRO OCHOA GARCIA</t>
  </si>
  <si>
    <t>MARIA DEL CARMEN ARELLANO CASILLAS</t>
  </si>
  <si>
    <t>PRIMA VAC.</t>
  </si>
  <si>
    <t>EDGAR YAIR LOMELI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</si>
</sst>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4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 val="singleAccounting"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sz val="14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indexed="63"/>
      <name val="Arial"/>
      <family val="2"/>
    </font>
    <font>
      <sz val="18"/>
      <name val="Arial"/>
      <family val="2"/>
    </font>
    <font>
      <b/>
      <u val="singleAccounting"/>
      <sz val="18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u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69">
    <xf numFmtId="0" fontId="0" fillId="0" borderId="0" xfId="0"/>
    <xf numFmtId="44" fontId="0" fillId="0" borderId="0" xfId="0" applyNumberFormat="1"/>
    <xf numFmtId="44" fontId="2" fillId="0" borderId="0" xfId="0" applyNumberFormat="1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textRotation="90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4" fontId="10" fillId="0" borderId="4" xfId="1" applyFont="1" applyBorder="1" applyAlignment="1">
      <alignment horizontal="center" vertical="center" wrapText="1"/>
    </xf>
    <xf numFmtId="44" fontId="10" fillId="0" borderId="4" xfId="0" applyNumberFormat="1" applyFont="1" applyBorder="1" applyAlignment="1">
      <alignment horizontal="center" vertical="center" wrapText="1"/>
    </xf>
    <xf numFmtId="44" fontId="10" fillId="0" borderId="4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44" fontId="10" fillId="0" borderId="2" xfId="0" applyNumberFormat="1" applyFont="1" applyBorder="1" applyAlignment="1">
      <alignment vertical="center"/>
    </xf>
    <xf numFmtId="44" fontId="9" fillId="0" borderId="28" xfId="0" applyNumberFormat="1" applyFont="1" applyBorder="1" applyAlignment="1">
      <alignment vertical="center" wrapText="1"/>
    </xf>
    <xf numFmtId="44" fontId="9" fillId="0" borderId="38" xfId="0" applyNumberFormat="1" applyFont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90" wrapText="1"/>
    </xf>
    <xf numFmtId="0" fontId="10" fillId="0" borderId="1" xfId="2" applyFont="1" applyFill="1" applyBorder="1" applyAlignment="1">
      <alignment horizontal="center" vertical="center" wrapText="1"/>
    </xf>
    <xf numFmtId="8" fontId="14" fillId="0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 wrapText="1"/>
    </xf>
    <xf numFmtId="44" fontId="10" fillId="0" borderId="2" xfId="1" applyFont="1" applyFill="1" applyBorder="1" applyAlignment="1">
      <alignment horizontal="center" vertical="center" wrapText="1"/>
    </xf>
    <xf numFmtId="44" fontId="12" fillId="0" borderId="2" xfId="0" applyNumberFormat="1" applyFont="1" applyBorder="1" applyAlignment="1">
      <alignment horizontal="center" vertical="center"/>
    </xf>
    <xf numFmtId="44" fontId="9" fillId="0" borderId="28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/>
    <xf numFmtId="44" fontId="12" fillId="0" borderId="0" xfId="0" applyNumberFormat="1" applyFont="1"/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44" fontId="12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vertical="center" wrapText="1"/>
    </xf>
    <xf numFmtId="44" fontId="9" fillId="0" borderId="38" xfId="0" applyNumberFormat="1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4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2" fillId="0" borderId="1" xfId="0" applyFont="1" applyBorder="1"/>
    <xf numFmtId="44" fontId="0" fillId="0" borderId="1" xfId="0" applyNumberFormat="1" applyBorder="1"/>
    <xf numFmtId="44" fontId="12" fillId="0" borderId="1" xfId="0" applyNumberFormat="1" applyFont="1" applyBorder="1"/>
    <xf numFmtId="44" fontId="0" fillId="0" borderId="1" xfId="0" applyNumberFormat="1" applyFont="1" applyBorder="1"/>
    <xf numFmtId="44" fontId="0" fillId="4" borderId="1" xfId="0" applyNumberFormat="1" applyFill="1" applyBorder="1"/>
    <xf numFmtId="0" fontId="10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 wrapText="1"/>
    </xf>
    <xf numFmtId="0" fontId="20" fillId="0" borderId="0" xfId="0" applyFont="1" applyBorder="1"/>
    <xf numFmtId="0" fontId="20" fillId="0" borderId="0" xfId="0" applyFont="1" applyBorder="1" applyAlignment="1">
      <alignment horizontal="center" wrapText="1"/>
    </xf>
    <xf numFmtId="0" fontId="21" fillId="0" borderId="0" xfId="2" applyFont="1" applyFill="1" applyBorder="1" applyAlignment="1">
      <alignment horizontal="left" vertical="center" wrapText="1"/>
    </xf>
    <xf numFmtId="0" fontId="22" fillId="0" borderId="0" xfId="2" applyFont="1" applyFill="1" applyBorder="1" applyAlignment="1">
      <alignment horizontal="center" wrapText="1"/>
    </xf>
    <xf numFmtId="2" fontId="20" fillId="0" borderId="0" xfId="0" applyNumberFormat="1" applyFont="1" applyFill="1" applyBorder="1" applyAlignment="1">
      <alignment horizontal="left"/>
    </xf>
    <xf numFmtId="44" fontId="19" fillId="0" borderId="0" xfId="0" applyNumberFormat="1" applyFont="1" applyAlignment="1">
      <alignment horizontal="center" vertical="center"/>
    </xf>
    <xf numFmtId="44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44" fontId="10" fillId="0" borderId="3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43" fontId="10" fillId="0" borderId="1" xfId="3" applyFont="1" applyBorder="1" applyAlignment="1">
      <alignment horizontal="center" vertical="center" wrapText="1"/>
    </xf>
    <xf numFmtId="43" fontId="10" fillId="0" borderId="2" xfId="3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4" fontId="20" fillId="0" borderId="1" xfId="3" applyNumberFormat="1" applyFont="1" applyBorder="1" applyAlignment="1">
      <alignment horizontal="center" vertical="center" wrapText="1"/>
    </xf>
    <xf numFmtId="44" fontId="20" fillId="0" borderId="1" xfId="3" applyNumberFormat="1" applyFont="1" applyFill="1" applyBorder="1" applyAlignment="1">
      <alignment horizontal="center" vertical="center" wrapText="1"/>
    </xf>
    <xf numFmtId="44" fontId="20" fillId="0" borderId="1" xfId="0" applyNumberFormat="1" applyFont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44" fontId="20" fillId="0" borderId="1" xfId="3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4" fontId="19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20" fillId="0" borderId="1" xfId="3" applyNumberFormat="1" applyFont="1" applyBorder="1" applyAlignment="1">
      <alignment horizontal="center" vertical="center" wrapText="1"/>
    </xf>
    <xf numFmtId="1" fontId="20" fillId="0" borderId="1" xfId="3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1" fontId="25" fillId="5" borderId="2" xfId="0" applyNumberFormat="1" applyFont="1" applyFill="1" applyBorder="1" applyAlignment="1">
      <alignment horizontal="center" vertical="center" wrapText="1"/>
    </xf>
    <xf numFmtId="44" fontId="25" fillId="5" borderId="2" xfId="0" applyNumberFormat="1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10" fillId="0" borderId="2" xfId="3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5" fillId="5" borderId="12" xfId="0" applyNumberFormat="1" applyFont="1" applyFill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vertical="center" wrapText="1"/>
    </xf>
    <xf numFmtId="1" fontId="9" fillId="5" borderId="12" xfId="0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3" xfId="1" applyNumberFormat="1" applyFont="1" applyFill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1" fontId="9" fillId="5" borderId="25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1" fontId="12" fillId="0" borderId="0" xfId="0" applyNumberFormat="1" applyFont="1"/>
    <xf numFmtId="0" fontId="10" fillId="0" borderId="14" xfId="0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 wrapText="1"/>
    </xf>
    <xf numFmtId="44" fontId="12" fillId="0" borderId="2" xfId="0" applyNumberFormat="1" applyFont="1" applyBorder="1" applyAlignment="1">
      <alignment vertical="center"/>
    </xf>
    <xf numFmtId="44" fontId="9" fillId="0" borderId="33" xfId="0" applyNumberFormat="1" applyFont="1" applyBorder="1" applyAlignment="1">
      <alignment vertical="center" wrapText="1"/>
    </xf>
    <xf numFmtId="2" fontId="25" fillId="5" borderId="42" xfId="0" applyNumberFormat="1" applyFont="1" applyFill="1" applyBorder="1" applyAlignment="1">
      <alignment horizontal="center" vertical="center" wrapText="1"/>
    </xf>
    <xf numFmtId="2" fontId="20" fillId="0" borderId="1" xfId="3" applyNumberFormat="1" applyFont="1" applyBorder="1" applyAlignment="1">
      <alignment horizontal="center" vertical="center" wrapText="1"/>
    </xf>
    <xf numFmtId="2" fontId="20" fillId="0" borderId="1" xfId="3" applyNumberFormat="1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44" fontId="20" fillId="0" borderId="1" xfId="1" applyNumberFormat="1" applyFont="1" applyFill="1" applyBorder="1" applyAlignment="1">
      <alignment horizontal="center" vertical="center" wrapText="1"/>
    </xf>
    <xf numFmtId="44" fontId="19" fillId="0" borderId="1" xfId="1" applyNumberFormat="1" applyFont="1" applyBorder="1" applyAlignment="1">
      <alignment horizontal="center" vertical="center"/>
    </xf>
    <xf numFmtId="44" fontId="9" fillId="5" borderId="2" xfId="0" applyNumberFormat="1" applyFont="1" applyFill="1" applyBorder="1" applyAlignment="1">
      <alignment horizontal="center" vertical="center" wrapText="1"/>
    </xf>
    <xf numFmtId="44" fontId="9" fillId="5" borderId="43" xfId="0" applyNumberFormat="1" applyFont="1" applyFill="1" applyBorder="1" applyAlignment="1">
      <alignment horizontal="center" vertical="center" wrapText="1"/>
    </xf>
    <xf numFmtId="44" fontId="9" fillId="5" borderId="42" xfId="0" applyNumberFormat="1" applyFont="1" applyFill="1" applyBorder="1" applyAlignment="1">
      <alignment horizontal="center" vertical="center" wrapText="1"/>
    </xf>
    <xf numFmtId="44" fontId="9" fillId="3" borderId="14" xfId="0" applyNumberFormat="1" applyFont="1" applyFill="1" applyBorder="1" applyAlignment="1">
      <alignment horizontal="center" vertical="center" wrapText="1"/>
    </xf>
    <xf numFmtId="44" fontId="10" fillId="0" borderId="1" xfId="3" applyNumberFormat="1" applyFont="1" applyFill="1" applyBorder="1" applyAlignment="1">
      <alignment horizontal="center" vertical="center" wrapText="1"/>
    </xf>
    <xf numFmtId="44" fontId="10" fillId="0" borderId="1" xfId="3" applyNumberFormat="1" applyFont="1" applyBorder="1" applyAlignment="1">
      <alignment horizontal="center" vertical="center"/>
    </xf>
    <xf numFmtId="44" fontId="10" fillId="0" borderId="2" xfId="3" applyNumberFormat="1" applyFont="1" applyFill="1" applyBorder="1" applyAlignment="1">
      <alignment horizontal="center" vertical="center" wrapText="1"/>
    </xf>
    <xf numFmtId="44" fontId="10" fillId="0" borderId="2" xfId="3" applyNumberFormat="1" applyFont="1" applyBorder="1" applyAlignment="1">
      <alignment horizontal="center" vertical="center"/>
    </xf>
    <xf numFmtId="44" fontId="9" fillId="0" borderId="28" xfId="0" applyNumberFormat="1" applyFont="1" applyBorder="1" applyAlignment="1">
      <alignment horizontal="center" vertical="center"/>
    </xf>
    <xf numFmtId="44" fontId="5" fillId="5" borderId="12" xfId="0" applyNumberFormat="1" applyFont="1" applyFill="1" applyBorder="1" applyAlignment="1">
      <alignment horizontal="center" vertical="center" wrapText="1"/>
    </xf>
    <xf numFmtId="44" fontId="15" fillId="5" borderId="12" xfId="0" applyNumberFormat="1" applyFont="1" applyFill="1" applyBorder="1" applyAlignment="1">
      <alignment horizontal="center" vertical="center" wrapText="1"/>
    </xf>
    <xf numFmtId="44" fontId="5" fillId="5" borderId="13" xfId="0" applyNumberFormat="1" applyFont="1" applyFill="1" applyBorder="1" applyAlignment="1">
      <alignment horizontal="center" vertical="center" wrapText="1"/>
    </xf>
    <xf numFmtId="44" fontId="5" fillId="5" borderId="11" xfId="0" applyNumberFormat="1" applyFont="1" applyFill="1" applyBorder="1" applyAlignment="1">
      <alignment horizontal="center" vertical="center" wrapText="1"/>
    </xf>
    <xf numFmtId="44" fontId="5" fillId="5" borderId="12" xfId="1" applyNumberFormat="1" applyFont="1" applyFill="1" applyBorder="1" applyAlignment="1">
      <alignment horizontal="center" vertical="center" wrapText="1"/>
    </xf>
    <xf numFmtId="44" fontId="5" fillId="3" borderId="21" xfId="1" applyNumberFormat="1" applyFont="1" applyFill="1" applyBorder="1" applyAlignment="1">
      <alignment horizontal="center" vertical="center" wrapText="1"/>
    </xf>
    <xf numFmtId="44" fontId="10" fillId="0" borderId="4" xfId="0" applyNumberFormat="1" applyFont="1" applyBorder="1" applyAlignment="1">
      <alignment horizontal="center" vertical="center"/>
    </xf>
    <xf numFmtId="44" fontId="10" fillId="0" borderId="4" xfId="1" applyNumberFormat="1" applyFont="1" applyBorder="1" applyAlignment="1">
      <alignment horizontal="center" vertical="center"/>
    </xf>
    <xf numFmtId="44" fontId="10" fillId="0" borderId="4" xfId="1" applyNumberFormat="1" applyFont="1" applyBorder="1" applyAlignment="1">
      <alignment vertical="center"/>
    </xf>
    <xf numFmtId="44" fontId="10" fillId="0" borderId="1" xfId="1" applyNumberFormat="1" applyFont="1" applyBorder="1" applyAlignment="1">
      <alignment horizontal="center" vertical="center"/>
    </xf>
    <xf numFmtId="44" fontId="11" fillId="0" borderId="4" xfId="1" applyNumberFormat="1" applyFont="1" applyBorder="1" applyAlignment="1">
      <alignment vertical="center"/>
    </xf>
    <xf numFmtId="44" fontId="10" fillId="0" borderId="1" xfId="1" applyNumberFormat="1" applyFont="1" applyBorder="1" applyAlignment="1">
      <alignment vertical="center"/>
    </xf>
    <xf numFmtId="44" fontId="10" fillId="0" borderId="2" xfId="1" applyNumberFormat="1" applyFont="1" applyBorder="1" applyAlignment="1">
      <alignment horizontal="center" vertical="center" wrapText="1"/>
    </xf>
    <xf numFmtId="44" fontId="10" fillId="0" borderId="2" xfId="1" applyNumberFormat="1" applyFont="1" applyBorder="1" applyAlignment="1">
      <alignment horizontal="center" vertical="center"/>
    </xf>
    <xf numFmtId="44" fontId="4" fillId="0" borderId="0" xfId="0" applyNumberFormat="1" applyFont="1" applyBorder="1" applyAlignment="1">
      <alignment vertical="center" wrapText="1"/>
    </xf>
    <xf numFmtId="44" fontId="0" fillId="0" borderId="0" xfId="1" applyNumberFormat="1" applyFont="1"/>
    <xf numFmtId="44" fontId="9" fillId="5" borderId="12" xfId="0" applyNumberFormat="1" applyFont="1" applyFill="1" applyBorder="1" applyAlignment="1">
      <alignment horizontal="center" vertical="center" wrapText="1"/>
    </xf>
    <xf numFmtId="44" fontId="9" fillId="5" borderId="13" xfId="0" applyNumberFormat="1" applyFont="1" applyFill="1" applyBorder="1" applyAlignment="1">
      <alignment horizontal="center" vertical="center" wrapText="1"/>
    </xf>
    <xf numFmtId="44" fontId="9" fillId="5" borderId="11" xfId="0" applyNumberFormat="1" applyFont="1" applyFill="1" applyBorder="1" applyAlignment="1">
      <alignment horizontal="center" vertical="center" wrapText="1"/>
    </xf>
    <xf numFmtId="44" fontId="9" fillId="3" borderId="21" xfId="1" applyNumberFormat="1" applyFont="1" applyFill="1" applyBorder="1" applyAlignment="1">
      <alignment horizontal="center" vertical="center" wrapText="1"/>
    </xf>
    <xf numFmtId="44" fontId="10" fillId="0" borderId="1" xfId="1" applyNumberFormat="1" applyFont="1" applyBorder="1" applyAlignment="1">
      <alignment horizontal="center" vertical="center" wrapText="1"/>
    </xf>
    <xf numFmtId="44" fontId="12" fillId="0" borderId="1" xfId="1" applyNumberFormat="1" applyFont="1" applyBorder="1" applyAlignment="1">
      <alignment horizontal="center" vertical="center"/>
    </xf>
    <xf numFmtId="44" fontId="13" fillId="0" borderId="1" xfId="1" applyNumberFormat="1" applyFont="1" applyBorder="1" applyAlignment="1">
      <alignment horizontal="center" vertical="center"/>
    </xf>
    <xf numFmtId="44" fontId="10" fillId="0" borderId="5" xfId="1" applyNumberFormat="1" applyFont="1" applyBorder="1" applyAlignment="1">
      <alignment horizontal="center" vertical="center" wrapText="1"/>
    </xf>
    <xf numFmtId="44" fontId="10" fillId="0" borderId="5" xfId="1" applyNumberFormat="1" applyFont="1" applyFill="1" applyBorder="1" applyAlignment="1">
      <alignment horizontal="center" vertical="center" wrapText="1"/>
    </xf>
    <xf numFmtId="44" fontId="10" fillId="0" borderId="1" xfId="1" applyNumberFormat="1" applyFont="1" applyFill="1" applyBorder="1" applyAlignment="1">
      <alignment horizontal="center" vertical="center" wrapText="1"/>
    </xf>
    <xf numFmtId="44" fontId="12" fillId="0" borderId="1" xfId="1" applyNumberFormat="1" applyFont="1" applyFill="1" applyBorder="1" applyAlignment="1">
      <alignment horizontal="center" vertical="center"/>
    </xf>
    <xf numFmtId="44" fontId="13" fillId="0" borderId="1" xfId="1" applyNumberFormat="1" applyFont="1" applyFill="1" applyBorder="1" applyAlignment="1">
      <alignment horizontal="center" vertical="center"/>
    </xf>
    <xf numFmtId="44" fontId="0" fillId="0" borderId="1" xfId="1" applyNumberFormat="1" applyFont="1" applyBorder="1"/>
    <xf numFmtId="44" fontId="13" fillId="0" borderId="3" xfId="1" applyNumberFormat="1" applyFont="1" applyFill="1" applyBorder="1" applyAlignment="1">
      <alignment horizontal="center" vertical="center"/>
    </xf>
    <xf numFmtId="44" fontId="12" fillId="0" borderId="0" xfId="1" applyNumberFormat="1" applyFont="1" applyBorder="1" applyAlignment="1">
      <alignment horizontal="center" vertical="center"/>
    </xf>
    <xf numFmtId="44" fontId="12" fillId="0" borderId="5" xfId="1" applyNumberFormat="1" applyFont="1" applyBorder="1" applyAlignment="1">
      <alignment horizontal="center" vertical="center"/>
    </xf>
    <xf numFmtId="44" fontId="10" fillId="0" borderId="2" xfId="1" applyNumberFormat="1" applyFont="1" applyFill="1" applyBorder="1" applyAlignment="1">
      <alignment horizontal="center" vertical="center" wrapText="1"/>
    </xf>
    <xf numFmtId="44" fontId="12" fillId="0" borderId="2" xfId="1" applyNumberFormat="1" applyFont="1" applyBorder="1" applyAlignment="1">
      <alignment horizontal="center" vertical="center"/>
    </xf>
    <xf numFmtId="44" fontId="10" fillId="0" borderId="0" xfId="1" applyNumberFormat="1" applyFont="1" applyFill="1" applyBorder="1" applyAlignment="1">
      <alignment horizontal="center" vertical="center" wrapText="1"/>
    </xf>
    <xf numFmtId="44" fontId="12" fillId="0" borderId="0" xfId="1" applyNumberFormat="1" applyFont="1"/>
    <xf numFmtId="44" fontId="9" fillId="5" borderId="25" xfId="0" applyNumberFormat="1" applyFont="1" applyFill="1" applyBorder="1" applyAlignment="1">
      <alignment horizontal="center" vertical="center" wrapText="1"/>
    </xf>
    <xf numFmtId="44" fontId="15" fillId="5" borderId="25" xfId="0" applyNumberFormat="1" applyFont="1" applyFill="1" applyBorder="1" applyAlignment="1">
      <alignment horizontal="center" vertical="center" wrapText="1"/>
    </xf>
    <xf numFmtId="44" fontId="9" fillId="5" borderId="27" xfId="0" applyNumberFormat="1" applyFont="1" applyFill="1" applyBorder="1" applyAlignment="1">
      <alignment horizontal="center" vertical="center" wrapText="1"/>
    </xf>
    <xf numFmtId="44" fontId="9" fillId="5" borderId="24" xfId="0" applyNumberFormat="1" applyFont="1" applyFill="1" applyBorder="1" applyAlignment="1">
      <alignment horizontal="center" vertical="center" wrapText="1"/>
    </xf>
    <xf numFmtId="44" fontId="5" fillId="5" borderId="25" xfId="1" applyNumberFormat="1" applyFont="1" applyFill="1" applyBorder="1" applyAlignment="1">
      <alignment horizontal="center" vertical="center" wrapText="1"/>
    </xf>
    <xf numFmtId="44" fontId="9" fillId="3" borderId="30" xfId="1" applyNumberFormat="1" applyFont="1" applyFill="1" applyBorder="1" applyAlignment="1">
      <alignment horizontal="center" vertical="center" wrapText="1"/>
    </xf>
    <xf numFmtId="44" fontId="12" fillId="0" borderId="1" xfId="1" applyNumberFormat="1" applyFont="1" applyBorder="1" applyAlignment="1">
      <alignment vertical="center"/>
    </xf>
    <xf numFmtId="44" fontId="13" fillId="0" borderId="1" xfId="1" applyNumberFormat="1" applyFont="1" applyBorder="1" applyAlignment="1">
      <alignment vertical="center"/>
    </xf>
    <xf numFmtId="44" fontId="12" fillId="0" borderId="4" xfId="1" applyNumberFormat="1" applyFont="1" applyBorder="1" applyAlignment="1">
      <alignment vertical="center"/>
    </xf>
    <xf numFmtId="44" fontId="12" fillId="0" borderId="0" xfId="1" applyNumberFormat="1" applyFont="1" applyAlignment="1">
      <alignment vertical="center"/>
    </xf>
    <xf numFmtId="44" fontId="12" fillId="0" borderId="5" xfId="1" applyNumberFormat="1" applyFont="1" applyBorder="1" applyAlignment="1">
      <alignment vertical="center"/>
    </xf>
    <xf numFmtId="44" fontId="12" fillId="0" borderId="2" xfId="1" applyNumberFormat="1" applyFont="1" applyBorder="1" applyAlignment="1">
      <alignment vertical="center"/>
    </xf>
    <xf numFmtId="44" fontId="9" fillId="0" borderId="0" xfId="1" applyNumberFormat="1" applyFont="1" applyBorder="1" applyAlignment="1">
      <alignment vertical="center" wrapText="1"/>
    </xf>
    <xf numFmtId="44" fontId="0" fillId="0" borderId="0" xfId="0" applyNumberFormat="1" applyFont="1"/>
    <xf numFmtId="44" fontId="25" fillId="3" borderId="14" xfId="1" applyFont="1" applyFill="1" applyBorder="1" applyAlignment="1">
      <alignment horizontal="center" vertical="center" wrapText="1"/>
    </xf>
    <xf numFmtId="44" fontId="20" fillId="0" borderId="1" xfId="1" applyFont="1" applyBorder="1" applyAlignment="1">
      <alignment horizontal="center" vertical="center" wrapText="1"/>
    </xf>
    <xf numFmtId="44" fontId="23" fillId="0" borderId="1" xfId="1" applyFont="1" applyBorder="1" applyAlignment="1">
      <alignment horizontal="center" vertical="center" wrapText="1"/>
    </xf>
    <xf numFmtId="44" fontId="23" fillId="0" borderId="1" xfId="1" applyFont="1" applyBorder="1" applyAlignment="1">
      <alignment horizontal="center" vertical="center"/>
    </xf>
    <xf numFmtId="44" fontId="20" fillId="0" borderId="1" xfId="1" applyFont="1" applyBorder="1" applyAlignment="1">
      <alignment horizontal="center" vertical="center"/>
    </xf>
    <xf numFmtId="44" fontId="27" fillId="0" borderId="1" xfId="1" applyFont="1" applyBorder="1" applyAlignment="1">
      <alignment horizontal="center" vertical="center" wrapText="1"/>
    </xf>
    <xf numFmtId="44" fontId="24" fillId="0" borderId="33" xfId="1" applyFont="1" applyBorder="1" applyAlignment="1">
      <alignment horizontal="center" vertical="center"/>
    </xf>
    <xf numFmtId="44" fontId="20" fillId="0" borderId="0" xfId="1" applyFont="1" applyAlignment="1">
      <alignment horizontal="center" vertical="center"/>
    </xf>
    <xf numFmtId="44" fontId="19" fillId="0" borderId="0" xfId="1" applyFont="1" applyAlignment="1">
      <alignment horizontal="center" vertical="center"/>
    </xf>
    <xf numFmtId="44" fontId="25" fillId="5" borderId="2" xfId="1" applyFont="1" applyFill="1" applyBorder="1" applyAlignment="1">
      <alignment horizontal="center" vertical="center" wrapText="1"/>
    </xf>
    <xf numFmtId="44" fontId="20" fillId="0" borderId="1" xfId="1" applyFont="1" applyFill="1" applyBorder="1" applyAlignment="1">
      <alignment horizontal="center" vertical="center" wrapText="1"/>
    </xf>
    <xf numFmtId="44" fontId="25" fillId="5" borderId="43" xfId="1" applyFont="1" applyFill="1" applyBorder="1" applyAlignment="1">
      <alignment horizontal="center" vertical="center" wrapText="1"/>
    </xf>
    <xf numFmtId="44" fontId="19" fillId="0" borderId="1" xfId="1" applyFont="1" applyBorder="1" applyAlignment="1">
      <alignment horizontal="center" vertical="center"/>
    </xf>
    <xf numFmtId="44" fontId="25" fillId="5" borderId="42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20" fillId="0" borderId="1" xfId="0" applyNumberFormat="1" applyFont="1" applyBorder="1" applyAlignment="1">
      <alignment horizontal="center" vertical="center"/>
    </xf>
    <xf numFmtId="44" fontId="20" fillId="0" borderId="1" xfId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/>
    </xf>
    <xf numFmtId="44" fontId="11" fillId="0" borderId="1" xfId="1" applyFont="1" applyBorder="1" applyAlignment="1">
      <alignment horizontal="center" vertical="center" wrapText="1"/>
    </xf>
    <xf numFmtId="1" fontId="0" fillId="0" borderId="1" xfId="0" applyNumberFormat="1" applyBorder="1"/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5" borderId="54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57" xfId="0" applyFont="1" applyFill="1" applyBorder="1" applyAlignment="1">
      <alignment horizontal="center" vertical="center" textRotation="90" wrapText="1"/>
    </xf>
    <xf numFmtId="0" fontId="9" fillId="5" borderId="37" xfId="0" applyFont="1" applyFill="1" applyBorder="1" applyAlignment="1">
      <alignment horizontal="center" vertical="center" textRotation="90" wrapText="1"/>
    </xf>
    <xf numFmtId="0" fontId="9" fillId="5" borderId="47" xfId="0" applyFont="1" applyFill="1" applyBorder="1" applyAlignment="1">
      <alignment horizontal="center" vertical="center" textRotation="90" wrapText="1"/>
    </xf>
    <xf numFmtId="0" fontId="9" fillId="5" borderId="49" xfId="0" applyFont="1" applyFill="1" applyBorder="1" applyAlignment="1">
      <alignment horizontal="center" vertical="center" textRotation="90" wrapText="1"/>
    </xf>
    <xf numFmtId="0" fontId="9" fillId="5" borderId="51" xfId="0" applyFont="1" applyFill="1" applyBorder="1" applyAlignment="1">
      <alignment horizontal="center" vertical="center" textRotation="90" wrapText="1"/>
    </xf>
    <xf numFmtId="0" fontId="9" fillId="2" borderId="47" xfId="0" applyFont="1" applyFill="1" applyBorder="1" applyAlignment="1">
      <alignment horizontal="center" vertical="center" textRotation="90" wrapText="1"/>
    </xf>
    <xf numFmtId="0" fontId="9" fillId="2" borderId="49" xfId="0" applyFont="1" applyFill="1" applyBorder="1" applyAlignment="1">
      <alignment horizontal="center" vertical="center" textRotation="90" wrapText="1"/>
    </xf>
    <xf numFmtId="0" fontId="9" fillId="2" borderId="51" xfId="0" applyFont="1" applyFill="1" applyBorder="1" applyAlignment="1">
      <alignment horizontal="center" vertical="center" textRotation="90" wrapText="1"/>
    </xf>
    <xf numFmtId="0" fontId="9" fillId="5" borderId="44" xfId="0" applyFont="1" applyFill="1" applyBorder="1" applyAlignment="1">
      <alignment horizontal="center" vertical="center" textRotation="90" wrapText="1"/>
    </xf>
    <xf numFmtId="0" fontId="9" fillId="5" borderId="40" xfId="0" applyFont="1" applyFill="1" applyBorder="1" applyAlignment="1">
      <alignment horizontal="center" vertical="center" textRotation="90" wrapText="1"/>
    </xf>
    <xf numFmtId="0" fontId="9" fillId="5" borderId="55" xfId="0" applyFont="1" applyFill="1" applyBorder="1" applyAlignment="1">
      <alignment horizontal="center" vertical="center" textRotation="90" wrapText="1"/>
    </xf>
    <xf numFmtId="0" fontId="9" fillId="2" borderId="56" xfId="0" applyFont="1" applyFill="1" applyBorder="1" applyAlignment="1">
      <alignment horizontal="center" vertical="center" textRotation="90" wrapText="1"/>
    </xf>
    <xf numFmtId="0" fontId="9" fillId="2" borderId="0" xfId="0" applyFont="1" applyFill="1" applyBorder="1" applyAlignment="1">
      <alignment horizontal="center" vertical="center" textRotation="90" wrapText="1"/>
    </xf>
    <xf numFmtId="0" fontId="9" fillId="2" borderId="40" xfId="0" applyFont="1" applyFill="1" applyBorder="1" applyAlignment="1">
      <alignment horizontal="center" vertical="center" textRotation="90" wrapText="1"/>
    </xf>
    <xf numFmtId="0" fontId="9" fillId="2" borderId="24" xfId="0" applyFont="1" applyFill="1" applyBorder="1" applyAlignment="1">
      <alignment horizontal="center" vertical="center" textRotation="90" wrapText="1"/>
    </xf>
    <xf numFmtId="0" fontId="9" fillId="5" borderId="24" xfId="0" applyFont="1" applyFill="1" applyBorder="1" applyAlignment="1">
      <alignment horizontal="center" vertical="center" textRotation="90" wrapText="1"/>
    </xf>
    <xf numFmtId="0" fontId="9" fillId="2" borderId="31" xfId="0" applyFont="1" applyFill="1" applyBorder="1" applyAlignment="1">
      <alignment horizontal="center" vertical="center" textRotation="90" wrapText="1"/>
    </xf>
    <xf numFmtId="0" fontId="9" fillId="2" borderId="32" xfId="0" applyFont="1" applyFill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textRotation="90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 textRotation="90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9" fillId="5" borderId="32" xfId="0" applyFont="1" applyFill="1" applyBorder="1" applyAlignment="1">
      <alignment horizontal="center" vertical="center" textRotation="90" wrapText="1"/>
    </xf>
    <xf numFmtId="0" fontId="9" fillId="5" borderId="33" xfId="0" applyFont="1" applyFill="1" applyBorder="1" applyAlignment="1">
      <alignment horizontal="center" vertical="center" textRotation="90" wrapText="1"/>
    </xf>
    <xf numFmtId="0" fontId="9" fillId="5" borderId="34" xfId="0" applyFont="1" applyFill="1" applyBorder="1" applyAlignment="1">
      <alignment horizontal="center" vertical="center" textRotation="90" wrapText="1"/>
    </xf>
    <xf numFmtId="0" fontId="9" fillId="5" borderId="35" xfId="0" applyFont="1" applyFill="1" applyBorder="1" applyAlignment="1">
      <alignment horizontal="center" vertical="center" textRotation="90" wrapText="1"/>
    </xf>
    <xf numFmtId="0" fontId="9" fillId="5" borderId="36" xfId="0" applyFont="1" applyFill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37" xfId="0" applyFont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44" fontId="7" fillId="5" borderId="7" xfId="0" applyNumberFormat="1" applyFont="1" applyFill="1" applyBorder="1" applyAlignment="1">
      <alignment horizontal="center" vertical="center" wrapText="1"/>
    </xf>
    <xf numFmtId="44" fontId="7" fillId="5" borderId="8" xfId="0" applyNumberFormat="1" applyFont="1" applyFill="1" applyBorder="1" applyAlignment="1">
      <alignment horizontal="center" vertical="center" wrapText="1"/>
    </xf>
    <xf numFmtId="44" fontId="7" fillId="5" borderId="22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4" fontId="9" fillId="5" borderId="7" xfId="0" applyNumberFormat="1" applyFont="1" applyFill="1" applyBorder="1" applyAlignment="1">
      <alignment horizontal="center" vertical="center" wrapText="1"/>
    </xf>
    <xf numFmtId="44" fontId="9" fillId="5" borderId="8" xfId="0" applyNumberFormat="1" applyFont="1" applyFill="1" applyBorder="1" applyAlignment="1">
      <alignment horizontal="center" vertical="center" wrapText="1"/>
    </xf>
    <xf numFmtId="44" fontId="9" fillId="5" borderId="22" xfId="0" applyNumberFormat="1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0" fontId="9" fillId="2" borderId="36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25" xfId="0" applyFont="1" applyBorder="1" applyAlignment="1">
      <alignment horizontal="center" vertical="center" textRotation="90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5" borderId="48" xfId="0" applyFont="1" applyFill="1" applyBorder="1" applyAlignment="1">
      <alignment horizontal="center" vertical="center" textRotation="90" wrapText="1"/>
    </xf>
    <xf numFmtId="0" fontId="9" fillId="5" borderId="50" xfId="0" applyFont="1" applyFill="1" applyBorder="1" applyAlignment="1">
      <alignment horizontal="center" vertical="center" textRotation="90" wrapText="1"/>
    </xf>
    <xf numFmtId="44" fontId="9" fillId="5" borderId="28" xfId="0" applyNumberFormat="1" applyFont="1" applyFill="1" applyBorder="1" applyAlignment="1">
      <alignment horizontal="center" vertical="center" wrapText="1"/>
    </xf>
    <xf numFmtId="44" fontId="9" fillId="5" borderId="17" xfId="0" applyNumberFormat="1" applyFont="1" applyFill="1" applyBorder="1" applyAlignment="1">
      <alignment horizontal="center" vertical="center" wrapText="1"/>
    </xf>
    <xf numFmtId="44" fontId="9" fillId="5" borderId="18" xfId="0" applyNumberFormat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4" fillId="3" borderId="51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8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44" fontId="25" fillId="5" borderId="7" xfId="0" applyNumberFormat="1" applyFont="1" applyFill="1" applyBorder="1" applyAlignment="1">
      <alignment horizontal="center" vertical="center" wrapText="1"/>
    </xf>
    <xf numFmtId="44" fontId="25" fillId="5" borderId="8" xfId="0" applyNumberFormat="1" applyFont="1" applyFill="1" applyBorder="1" applyAlignment="1">
      <alignment horizontal="center" vertical="center" wrapText="1"/>
    </xf>
    <xf numFmtId="44" fontId="25" fillId="5" borderId="22" xfId="0" applyNumberFormat="1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5" borderId="39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%20PAGO%20PRESIDENCIA\Bnmex_Creador_Layout_TEF-D_V17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chivos"/>
      <sheetName val="Predeterminados"/>
      <sheetName val="Hoja2"/>
    </sheetNames>
    <sheetDataSet>
      <sheetData sheetId="0"/>
      <sheetData sheetId="1">
        <row r="2">
          <cell r="E2" t="str">
            <v>01-Cheques</v>
          </cell>
        </row>
        <row r="3">
          <cell r="E3" t="str">
            <v>03-Plásticos</v>
          </cell>
        </row>
        <row r="4">
          <cell r="E4" t="str">
            <v>04-Orden de Pago</v>
          </cell>
        </row>
        <row r="5">
          <cell r="E5" t="str">
            <v>40-CLABE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0"/>
  <sheetViews>
    <sheetView tabSelected="1" view="pageLayout" topLeftCell="B1" zoomScale="70" zoomScaleNormal="70" zoomScaleSheetLayoutView="30" zoomScalePageLayoutView="70" workbookViewId="0">
      <selection activeCell="B3" sqref="B3"/>
    </sheetView>
  </sheetViews>
  <sheetFormatPr baseColWidth="10" defaultRowHeight="15.75" x14ac:dyDescent="0.25"/>
  <cols>
    <col min="1" max="1" width="11.75" customWidth="1"/>
    <col min="2" max="2" width="14.625" customWidth="1"/>
    <col min="3" max="3" width="16.375" customWidth="1"/>
    <col min="4" max="4" width="18.875" customWidth="1"/>
    <col min="5" max="5" width="14.375" customWidth="1"/>
    <col min="6" max="6" width="9.5" style="134" customWidth="1"/>
    <col min="7" max="7" width="19.5" style="1" customWidth="1"/>
    <col min="8" max="8" width="15.125" style="221" customWidth="1"/>
    <col min="9" max="9" width="14.625" style="1" customWidth="1"/>
    <col min="10" max="10" width="18.375" style="1" customWidth="1"/>
    <col min="11" max="11" width="17.875" style="1" customWidth="1"/>
    <col min="12" max="12" width="15.125" style="1" customWidth="1"/>
    <col min="13" max="13" width="17.125" style="187" customWidth="1"/>
    <col min="14" max="14" width="18" style="1" customWidth="1"/>
    <col min="15" max="15" width="17.25" style="1" customWidth="1"/>
    <col min="16" max="16" width="16.625" style="1" customWidth="1"/>
    <col min="17" max="17" width="20.75" style="187" bestFit="1" customWidth="1"/>
    <col min="18" max="18" width="43.125" customWidth="1"/>
  </cols>
  <sheetData>
    <row r="1" spans="1:18" ht="70.7" customHeight="1" thickBot="1" x14ac:dyDescent="0.3">
      <c r="A1" s="286" t="s">
        <v>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8"/>
    </row>
    <row r="2" spans="1:18" ht="70.7" customHeight="1" x14ac:dyDescent="0.25">
      <c r="A2" s="313"/>
      <c r="B2" s="314"/>
      <c r="C2" s="314"/>
      <c r="D2" s="315"/>
      <c r="E2" s="310" t="s">
        <v>414</v>
      </c>
      <c r="F2" s="311"/>
      <c r="G2" s="311"/>
      <c r="H2" s="311"/>
      <c r="I2" s="311"/>
      <c r="J2" s="312"/>
      <c r="K2" s="294" t="s">
        <v>419</v>
      </c>
      <c r="L2" s="295"/>
      <c r="M2" s="295"/>
      <c r="N2" s="295"/>
      <c r="O2" s="295"/>
      <c r="P2" s="296"/>
      <c r="Q2" s="297"/>
      <c r="R2" s="298"/>
    </row>
    <row r="3" spans="1:18" ht="70.7" customHeight="1" thickBot="1" x14ac:dyDescent="0.3">
      <c r="A3" s="5" t="s">
        <v>1</v>
      </c>
      <c r="B3" s="6" t="s">
        <v>0</v>
      </c>
      <c r="C3" s="6" t="s">
        <v>2</v>
      </c>
      <c r="D3" s="8" t="s">
        <v>3</v>
      </c>
      <c r="E3" s="124" t="s">
        <v>4</v>
      </c>
      <c r="F3" s="135" t="s">
        <v>425</v>
      </c>
      <c r="G3" s="172" t="s">
        <v>417</v>
      </c>
      <c r="H3" s="173" t="s">
        <v>619</v>
      </c>
      <c r="I3" s="172" t="s">
        <v>418</v>
      </c>
      <c r="J3" s="174" t="s">
        <v>421</v>
      </c>
      <c r="K3" s="175" t="s">
        <v>415</v>
      </c>
      <c r="L3" s="172" t="s">
        <v>416</v>
      </c>
      <c r="M3" s="176" t="s">
        <v>509</v>
      </c>
      <c r="N3" s="172" t="s">
        <v>432</v>
      </c>
      <c r="O3" s="172" t="s">
        <v>420</v>
      </c>
      <c r="P3" s="174" t="s">
        <v>422</v>
      </c>
      <c r="Q3" s="177" t="s">
        <v>423</v>
      </c>
      <c r="R3" s="7" t="s">
        <v>424</v>
      </c>
    </row>
    <row r="4" spans="1:18" ht="70.7" customHeight="1" x14ac:dyDescent="0.25">
      <c r="A4" s="277" t="s">
        <v>5</v>
      </c>
      <c r="B4" s="283" t="s">
        <v>6</v>
      </c>
      <c r="C4" s="12" t="s">
        <v>7</v>
      </c>
      <c r="D4" s="13" t="s">
        <v>8</v>
      </c>
      <c r="E4" s="14">
        <v>718.17</v>
      </c>
      <c r="F4" s="136">
        <v>15</v>
      </c>
      <c r="G4" s="15">
        <f>E4*15</f>
        <v>10772.55</v>
      </c>
      <c r="H4" s="15"/>
      <c r="I4" s="16"/>
      <c r="J4" s="16">
        <f>G4+I4+H4</f>
        <v>10772.55</v>
      </c>
      <c r="K4" s="16">
        <v>1662.84</v>
      </c>
      <c r="L4" s="178"/>
      <c r="M4" s="179"/>
      <c r="N4" s="16"/>
      <c r="O4" s="16">
        <f>J4*4%</f>
        <v>430.90199999999999</v>
      </c>
      <c r="P4" s="16">
        <f>K4+L4+N4+O4+M4</f>
        <v>2093.7419999999997</v>
      </c>
      <c r="Q4" s="180">
        <f>J4-P4</f>
        <v>8678.8079999999991</v>
      </c>
      <c r="R4" s="9"/>
    </row>
    <row r="5" spans="1:18" ht="70.7" customHeight="1" x14ac:dyDescent="0.25">
      <c r="A5" s="278"/>
      <c r="B5" s="283"/>
      <c r="C5" s="17" t="s">
        <v>7</v>
      </c>
      <c r="D5" s="18" t="s">
        <v>9</v>
      </c>
      <c r="E5" s="19">
        <v>718.17</v>
      </c>
      <c r="F5" s="137">
        <v>15</v>
      </c>
      <c r="G5" s="20">
        <f t="shared" ref="G5:G12" si="0">E5*15</f>
        <v>10772.55</v>
      </c>
      <c r="H5" s="20"/>
      <c r="I5" s="22"/>
      <c r="J5" s="16">
        <f t="shared" ref="J5:J13" si="1">G5+I5+H5</f>
        <v>10772.55</v>
      </c>
      <c r="K5" s="16">
        <v>1662.84</v>
      </c>
      <c r="L5" s="62"/>
      <c r="M5" s="179"/>
      <c r="N5" s="16"/>
      <c r="O5" s="16">
        <f>J5*4%</f>
        <v>430.90199999999999</v>
      </c>
      <c r="P5" s="16">
        <f t="shared" ref="P5:P13" si="2">K5+L5+N5+O5+M5</f>
        <v>2093.7419999999997</v>
      </c>
      <c r="Q5" s="180">
        <f t="shared" ref="Q5:Q13" si="3">J5-P5</f>
        <v>8678.8079999999991</v>
      </c>
      <c r="R5" s="10"/>
    </row>
    <row r="6" spans="1:18" ht="70.7" customHeight="1" x14ac:dyDescent="0.25">
      <c r="A6" s="278"/>
      <c r="B6" s="283"/>
      <c r="C6" s="17" t="s">
        <v>7</v>
      </c>
      <c r="D6" s="18" t="s">
        <v>10</v>
      </c>
      <c r="E6" s="19">
        <v>718.17</v>
      </c>
      <c r="F6" s="137">
        <v>15</v>
      </c>
      <c r="G6" s="20">
        <f t="shared" si="0"/>
        <v>10772.55</v>
      </c>
      <c r="H6" s="20"/>
      <c r="I6" s="22"/>
      <c r="J6" s="16">
        <f t="shared" si="1"/>
        <v>10772.55</v>
      </c>
      <c r="K6" s="16">
        <v>1662.84</v>
      </c>
      <c r="L6" s="62"/>
      <c r="M6" s="179"/>
      <c r="N6" s="16"/>
      <c r="O6" s="16">
        <f>J6*4%</f>
        <v>430.90199999999999</v>
      </c>
      <c r="P6" s="16">
        <f t="shared" si="2"/>
        <v>2093.7419999999997</v>
      </c>
      <c r="Q6" s="180">
        <f t="shared" si="3"/>
        <v>8678.8079999999991</v>
      </c>
      <c r="R6" s="10"/>
    </row>
    <row r="7" spans="1:18" ht="70.7" customHeight="1" x14ac:dyDescent="0.25">
      <c r="A7" s="278"/>
      <c r="B7" s="283"/>
      <c r="C7" s="17" t="s">
        <v>7</v>
      </c>
      <c r="D7" s="18" t="s">
        <v>11</v>
      </c>
      <c r="E7" s="19">
        <v>718.17</v>
      </c>
      <c r="F7" s="137">
        <v>15</v>
      </c>
      <c r="G7" s="20">
        <f t="shared" si="0"/>
        <v>10772.55</v>
      </c>
      <c r="H7" s="20"/>
      <c r="I7" s="22"/>
      <c r="J7" s="16">
        <f t="shared" si="1"/>
        <v>10772.55</v>
      </c>
      <c r="K7" s="16">
        <v>1662.84</v>
      </c>
      <c r="L7" s="62"/>
      <c r="M7" s="179"/>
      <c r="N7" s="16"/>
      <c r="O7" s="16">
        <f>J7*4%</f>
        <v>430.90199999999999</v>
      </c>
      <c r="P7" s="16">
        <f t="shared" si="2"/>
        <v>2093.7419999999997</v>
      </c>
      <c r="Q7" s="180">
        <f t="shared" si="3"/>
        <v>8678.8079999999991</v>
      </c>
      <c r="R7" s="10"/>
    </row>
    <row r="8" spans="1:18" ht="70.7" customHeight="1" x14ac:dyDescent="0.25">
      <c r="A8" s="278"/>
      <c r="B8" s="283"/>
      <c r="C8" s="17" t="s">
        <v>7</v>
      </c>
      <c r="D8" s="18" t="s">
        <v>12</v>
      </c>
      <c r="E8" s="19">
        <v>718.17</v>
      </c>
      <c r="F8" s="137">
        <v>15</v>
      </c>
      <c r="G8" s="20">
        <f t="shared" si="0"/>
        <v>10772.55</v>
      </c>
      <c r="H8" s="20"/>
      <c r="I8" s="22"/>
      <c r="J8" s="16">
        <f t="shared" si="1"/>
        <v>10772.55</v>
      </c>
      <c r="K8" s="16">
        <v>1662.84</v>
      </c>
      <c r="L8" s="62"/>
      <c r="M8" s="179"/>
      <c r="N8" s="16"/>
      <c r="O8" s="16">
        <f>J8*4%</f>
        <v>430.90199999999999</v>
      </c>
      <c r="P8" s="16">
        <f t="shared" si="2"/>
        <v>2093.7419999999997</v>
      </c>
      <c r="Q8" s="180">
        <f t="shared" si="3"/>
        <v>8678.8079999999991</v>
      </c>
      <c r="R8" s="10"/>
    </row>
    <row r="9" spans="1:18" ht="70.7" customHeight="1" x14ac:dyDescent="0.25">
      <c r="A9" s="278"/>
      <c r="B9" s="283"/>
      <c r="C9" s="17" t="s">
        <v>7</v>
      </c>
      <c r="D9" s="18" t="s">
        <v>13</v>
      </c>
      <c r="E9" s="19">
        <v>718.17</v>
      </c>
      <c r="F9" s="137">
        <v>15</v>
      </c>
      <c r="G9" s="20">
        <f t="shared" si="0"/>
        <v>10772.55</v>
      </c>
      <c r="H9" s="20"/>
      <c r="I9" s="22"/>
      <c r="J9" s="16">
        <f t="shared" si="1"/>
        <v>10772.55</v>
      </c>
      <c r="K9" s="16">
        <v>1662.84</v>
      </c>
      <c r="L9" s="62"/>
      <c r="M9" s="181"/>
      <c r="N9" s="22"/>
      <c r="O9" s="22"/>
      <c r="P9" s="16">
        <f t="shared" si="2"/>
        <v>1662.84</v>
      </c>
      <c r="Q9" s="180">
        <f t="shared" si="3"/>
        <v>9109.7099999999991</v>
      </c>
      <c r="R9" s="10"/>
    </row>
    <row r="10" spans="1:18" ht="70.7" customHeight="1" x14ac:dyDescent="0.25">
      <c r="A10" s="278"/>
      <c r="B10" s="283"/>
      <c r="C10" s="17" t="s">
        <v>7</v>
      </c>
      <c r="D10" s="18" t="s">
        <v>14</v>
      </c>
      <c r="E10" s="19">
        <v>718.17</v>
      </c>
      <c r="F10" s="137">
        <v>15</v>
      </c>
      <c r="G10" s="20">
        <f t="shared" si="0"/>
        <v>10772.55</v>
      </c>
      <c r="H10" s="20"/>
      <c r="I10" s="22"/>
      <c r="J10" s="16">
        <f t="shared" si="1"/>
        <v>10772.55</v>
      </c>
      <c r="K10" s="16">
        <v>1662.84</v>
      </c>
      <c r="L10" s="62"/>
      <c r="M10" s="181">
        <v>2375</v>
      </c>
      <c r="N10" s="22"/>
      <c r="O10" s="22"/>
      <c r="P10" s="16">
        <f t="shared" si="2"/>
        <v>4037.84</v>
      </c>
      <c r="Q10" s="180">
        <f t="shared" si="3"/>
        <v>6734.7099999999991</v>
      </c>
      <c r="R10" s="10"/>
    </row>
    <row r="11" spans="1:18" ht="70.7" customHeight="1" x14ac:dyDescent="0.25">
      <c r="A11" s="278"/>
      <c r="B11" s="283"/>
      <c r="C11" s="17" t="s">
        <v>7</v>
      </c>
      <c r="D11" s="18" t="s">
        <v>15</v>
      </c>
      <c r="E11" s="19">
        <v>718.17</v>
      </c>
      <c r="F11" s="137">
        <v>15</v>
      </c>
      <c r="G11" s="20">
        <f t="shared" si="0"/>
        <v>10772.55</v>
      </c>
      <c r="H11" s="20"/>
      <c r="I11" s="22"/>
      <c r="J11" s="16">
        <f t="shared" si="1"/>
        <v>10772.55</v>
      </c>
      <c r="K11" s="16">
        <v>1662.84</v>
      </c>
      <c r="L11" s="62"/>
      <c r="M11" s="181"/>
      <c r="N11" s="22"/>
      <c r="O11" s="22"/>
      <c r="P11" s="16">
        <f t="shared" si="2"/>
        <v>1662.84</v>
      </c>
      <c r="Q11" s="182">
        <f t="shared" si="3"/>
        <v>9109.7099999999991</v>
      </c>
      <c r="R11" s="10"/>
    </row>
    <row r="12" spans="1:18" ht="70.7" customHeight="1" x14ac:dyDescent="0.25">
      <c r="A12" s="278"/>
      <c r="B12" s="283"/>
      <c r="C12" s="17" t="s">
        <v>7</v>
      </c>
      <c r="D12" s="18" t="s">
        <v>16</v>
      </c>
      <c r="E12" s="19">
        <v>718.17</v>
      </c>
      <c r="F12" s="137">
        <v>15</v>
      </c>
      <c r="G12" s="20">
        <f t="shared" si="0"/>
        <v>10772.55</v>
      </c>
      <c r="H12" s="20"/>
      <c r="I12" s="22"/>
      <c r="J12" s="16">
        <f t="shared" si="1"/>
        <v>10772.55</v>
      </c>
      <c r="K12" s="22">
        <v>1662.84</v>
      </c>
      <c r="L12" s="62"/>
      <c r="M12" s="181"/>
      <c r="N12" s="22"/>
      <c r="O12" s="22"/>
      <c r="P12" s="16">
        <f t="shared" si="2"/>
        <v>1662.84</v>
      </c>
      <c r="Q12" s="183">
        <f t="shared" si="3"/>
        <v>9109.7099999999991</v>
      </c>
      <c r="R12" s="10"/>
    </row>
    <row r="13" spans="1:18" ht="70.7" customHeight="1" thickBot="1" x14ac:dyDescent="0.3">
      <c r="A13" s="279"/>
      <c r="B13" s="283"/>
      <c r="C13" s="24" t="s">
        <v>17</v>
      </c>
      <c r="D13" s="25" t="s">
        <v>18</v>
      </c>
      <c r="E13" s="26">
        <v>718.17</v>
      </c>
      <c r="F13" s="138">
        <v>15</v>
      </c>
      <c r="G13" s="184">
        <f>E13*F13</f>
        <v>10772.55</v>
      </c>
      <c r="H13" s="184"/>
      <c r="I13" s="27"/>
      <c r="J13" s="16">
        <f t="shared" si="1"/>
        <v>10772.55</v>
      </c>
      <c r="K13" s="27">
        <v>1662.84</v>
      </c>
      <c r="L13" s="63"/>
      <c r="M13" s="185"/>
      <c r="N13" s="27"/>
      <c r="O13" s="27">
        <f>G13*4%</f>
        <v>430.90199999999999</v>
      </c>
      <c r="P13" s="16">
        <f t="shared" si="2"/>
        <v>2093.7419999999997</v>
      </c>
      <c r="Q13" s="183">
        <f t="shared" si="3"/>
        <v>8678.8079999999991</v>
      </c>
      <c r="R13" s="10"/>
    </row>
    <row r="14" spans="1:18" ht="70.7" customHeight="1" thickBot="1" x14ac:dyDescent="0.3">
      <c r="A14" s="289" t="s">
        <v>429</v>
      </c>
      <c r="B14" s="290"/>
      <c r="C14" s="290"/>
      <c r="D14" s="290"/>
      <c r="E14" s="290"/>
      <c r="F14" s="290"/>
      <c r="G14" s="28">
        <f>SUM(G4:G13)</f>
        <v>107725.50000000001</v>
      </c>
      <c r="H14" s="28">
        <f t="shared" ref="H14:Q14" si="4">SUM(H4:H13)</f>
        <v>0</v>
      </c>
      <c r="I14" s="28">
        <f t="shared" si="4"/>
        <v>0</v>
      </c>
      <c r="J14" s="28">
        <f t="shared" si="4"/>
        <v>107725.50000000001</v>
      </c>
      <c r="K14" s="28">
        <f t="shared" si="4"/>
        <v>16628.399999999998</v>
      </c>
      <c r="L14" s="28">
        <f t="shared" si="4"/>
        <v>0</v>
      </c>
      <c r="M14" s="28">
        <f t="shared" si="4"/>
        <v>2375</v>
      </c>
      <c r="N14" s="28">
        <f t="shared" si="4"/>
        <v>0</v>
      </c>
      <c r="O14" s="28">
        <f t="shared" si="4"/>
        <v>2585.4119999999998</v>
      </c>
      <c r="P14" s="28">
        <f t="shared" si="4"/>
        <v>21588.811999999998</v>
      </c>
      <c r="Q14" s="28">
        <f t="shared" si="4"/>
        <v>86136.68799999998</v>
      </c>
      <c r="R14" s="11"/>
    </row>
    <row r="15" spans="1:18" ht="70.7" customHeight="1" x14ac:dyDescent="0.25">
      <c r="A15" s="4"/>
      <c r="B15" s="4"/>
      <c r="C15" s="3"/>
      <c r="D15" s="3"/>
      <c r="E15" s="3"/>
      <c r="F15" s="139"/>
      <c r="G15" s="186"/>
      <c r="H15" s="186"/>
    </row>
    <row r="16" spans="1:18" ht="70.7" customHeight="1" x14ac:dyDescent="0.25">
      <c r="A16" s="4"/>
      <c r="B16" s="4"/>
      <c r="C16" s="3"/>
      <c r="D16" s="3"/>
      <c r="E16" s="3"/>
      <c r="F16" s="139"/>
      <c r="G16" s="186"/>
      <c r="H16" s="186"/>
    </row>
    <row r="17" spans="1:18" ht="70.7" customHeight="1" x14ac:dyDescent="0.25">
      <c r="A17" s="4"/>
      <c r="B17" s="4"/>
      <c r="C17" s="3"/>
      <c r="D17" s="3"/>
      <c r="E17" s="3"/>
      <c r="F17" s="139"/>
      <c r="G17" s="186"/>
      <c r="H17" s="186"/>
    </row>
    <row r="18" spans="1:18" ht="70.7" customHeight="1" thickBot="1" x14ac:dyDescent="0.3">
      <c r="A18" s="4"/>
      <c r="B18" s="4"/>
      <c r="C18" s="3"/>
      <c r="D18" s="3"/>
      <c r="E18" s="3"/>
      <c r="F18" s="139"/>
      <c r="G18" s="186"/>
      <c r="H18" s="186"/>
    </row>
    <row r="19" spans="1:18" ht="70.7" customHeight="1" thickBot="1" x14ac:dyDescent="0.3">
      <c r="A19" s="286" t="s">
        <v>451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8"/>
    </row>
    <row r="20" spans="1:18" ht="70.7" customHeight="1" x14ac:dyDescent="0.25">
      <c r="A20" s="313"/>
      <c r="B20" s="314"/>
      <c r="C20" s="314"/>
      <c r="D20" s="315"/>
      <c r="E20" s="310" t="s">
        <v>414</v>
      </c>
      <c r="F20" s="311"/>
      <c r="G20" s="311"/>
      <c r="H20" s="311"/>
      <c r="I20" s="311"/>
      <c r="J20" s="312"/>
      <c r="K20" s="294" t="s">
        <v>419</v>
      </c>
      <c r="L20" s="295"/>
      <c r="M20" s="295"/>
      <c r="N20" s="295"/>
      <c r="O20" s="295"/>
      <c r="P20" s="296"/>
      <c r="Q20" s="297"/>
      <c r="R20" s="298"/>
    </row>
    <row r="21" spans="1:18" ht="70.7" customHeight="1" thickBot="1" x14ac:dyDescent="0.3">
      <c r="A21" s="30" t="s">
        <v>1</v>
      </c>
      <c r="B21" s="31" t="s">
        <v>0</v>
      </c>
      <c r="C21" s="31" t="s">
        <v>2</v>
      </c>
      <c r="D21" s="32" t="s">
        <v>3</v>
      </c>
      <c r="E21" s="125" t="s">
        <v>4</v>
      </c>
      <c r="F21" s="140" t="s">
        <v>425</v>
      </c>
      <c r="G21" s="188" t="s">
        <v>417</v>
      </c>
      <c r="H21" s="173" t="s">
        <v>619</v>
      </c>
      <c r="I21" s="188" t="s">
        <v>418</v>
      </c>
      <c r="J21" s="189" t="s">
        <v>421</v>
      </c>
      <c r="K21" s="190" t="s">
        <v>415</v>
      </c>
      <c r="L21" s="188" t="s">
        <v>416</v>
      </c>
      <c r="M21" s="176" t="s">
        <v>509</v>
      </c>
      <c r="N21" s="188" t="s">
        <v>432</v>
      </c>
      <c r="O21" s="188" t="s">
        <v>420</v>
      </c>
      <c r="P21" s="189" t="s">
        <v>422</v>
      </c>
      <c r="Q21" s="191" t="s">
        <v>423</v>
      </c>
      <c r="R21" s="33" t="s">
        <v>424</v>
      </c>
    </row>
    <row r="22" spans="1:18" ht="70.7" customHeight="1" x14ac:dyDescent="0.25">
      <c r="A22" s="280" t="s">
        <v>20</v>
      </c>
      <c r="B22" s="275" t="s">
        <v>19</v>
      </c>
      <c r="C22" s="17" t="s">
        <v>21</v>
      </c>
      <c r="D22" s="18" t="s">
        <v>22</v>
      </c>
      <c r="E22" s="19">
        <v>1780.55</v>
      </c>
      <c r="F22" s="137">
        <v>15</v>
      </c>
      <c r="G22" s="192">
        <f t="shared" ref="G22:G30" si="5">E22*F22</f>
        <v>26708.25</v>
      </c>
      <c r="H22" s="192"/>
      <c r="I22" s="35"/>
      <c r="J22" s="35">
        <f>G22+I22+H22</f>
        <v>26708.25</v>
      </c>
      <c r="K22" s="35">
        <v>5895.45</v>
      </c>
      <c r="L22" s="35"/>
      <c r="M22" s="193"/>
      <c r="N22" s="35"/>
      <c r="O22" s="35">
        <f>G22*5%</f>
        <v>1335.4125000000001</v>
      </c>
      <c r="P22" s="35">
        <f>K22+L22+N22+O22+M22</f>
        <v>7230.8625000000002</v>
      </c>
      <c r="Q22" s="193">
        <f t="shared" ref="Q22:Q85" si="6">J22-P22</f>
        <v>19477.387500000001</v>
      </c>
      <c r="R22" s="34"/>
    </row>
    <row r="23" spans="1:18" ht="70.7" customHeight="1" x14ac:dyDescent="0.25">
      <c r="A23" s="281"/>
      <c r="B23" s="275"/>
      <c r="C23" s="17" t="s">
        <v>23</v>
      </c>
      <c r="D23" s="18"/>
      <c r="E23" s="36">
        <v>358.8</v>
      </c>
      <c r="F23" s="141"/>
      <c r="G23" s="192">
        <f t="shared" si="5"/>
        <v>0</v>
      </c>
      <c r="H23" s="192"/>
      <c r="I23" s="35"/>
      <c r="J23" s="35">
        <f t="shared" ref="J23:J86" si="7">G23+I23+H23</f>
        <v>0</v>
      </c>
      <c r="K23" s="35"/>
      <c r="L23" s="35"/>
      <c r="M23" s="193"/>
      <c r="N23" s="35"/>
      <c r="O23" s="35">
        <f>G23*3%</f>
        <v>0</v>
      </c>
      <c r="P23" s="35">
        <f t="shared" ref="P23:P86" si="8">K23+L23+N23+O23+M23</f>
        <v>0</v>
      </c>
      <c r="Q23" s="193">
        <f t="shared" si="6"/>
        <v>0</v>
      </c>
      <c r="R23" s="34"/>
    </row>
    <row r="24" spans="1:18" ht="70.7" customHeight="1" x14ac:dyDescent="0.25">
      <c r="A24" s="281"/>
      <c r="B24" s="275"/>
      <c r="C24" s="18" t="s">
        <v>216</v>
      </c>
      <c r="D24" s="18" t="s">
        <v>440</v>
      </c>
      <c r="E24" s="118">
        <v>221.66</v>
      </c>
      <c r="F24" s="141"/>
      <c r="G24" s="192">
        <f t="shared" si="5"/>
        <v>0</v>
      </c>
      <c r="H24" s="192"/>
      <c r="I24" s="35"/>
      <c r="J24" s="35">
        <f t="shared" si="7"/>
        <v>0</v>
      </c>
      <c r="K24" s="35"/>
      <c r="L24" s="35"/>
      <c r="M24" s="193"/>
      <c r="N24" s="35"/>
      <c r="O24" s="35"/>
      <c r="P24" s="35">
        <f t="shared" si="8"/>
        <v>0</v>
      </c>
      <c r="Q24" s="193">
        <f t="shared" si="6"/>
        <v>0</v>
      </c>
      <c r="R24" s="34"/>
    </row>
    <row r="25" spans="1:18" ht="70.7" customHeight="1" x14ac:dyDescent="0.25">
      <c r="A25" s="281"/>
      <c r="B25" s="275"/>
      <c r="C25" s="17" t="s">
        <v>24</v>
      </c>
      <c r="D25" s="18" t="s">
        <v>25</v>
      </c>
      <c r="E25" s="36">
        <v>292.32</v>
      </c>
      <c r="F25" s="141">
        <v>15</v>
      </c>
      <c r="G25" s="192">
        <f t="shared" si="5"/>
        <v>4384.8</v>
      </c>
      <c r="H25" s="192">
        <f>+E25*5</f>
        <v>1461.6</v>
      </c>
      <c r="I25" s="35"/>
      <c r="J25" s="35">
        <f t="shared" si="7"/>
        <v>5846.4</v>
      </c>
      <c r="K25" s="35">
        <v>362.15</v>
      </c>
      <c r="L25" s="35">
        <f>G25*1.1875%</f>
        <v>52.069500000000005</v>
      </c>
      <c r="M25" s="193"/>
      <c r="N25" s="35">
        <f>G25*1%</f>
        <v>43.848000000000006</v>
      </c>
      <c r="O25" s="35"/>
      <c r="P25" s="35">
        <f t="shared" si="8"/>
        <v>458.0675</v>
      </c>
      <c r="Q25" s="193">
        <f t="shared" si="6"/>
        <v>5388.3324999999995</v>
      </c>
      <c r="R25" s="34"/>
    </row>
    <row r="26" spans="1:18" ht="70.7" customHeight="1" x14ac:dyDescent="0.25">
      <c r="A26" s="281"/>
      <c r="B26" s="275"/>
      <c r="C26" s="17" t="s">
        <v>33</v>
      </c>
      <c r="D26" s="18" t="s">
        <v>35</v>
      </c>
      <c r="E26" s="19">
        <v>207.79</v>
      </c>
      <c r="F26" s="137">
        <v>15</v>
      </c>
      <c r="G26" s="192">
        <f>E26*F26</f>
        <v>3116.85</v>
      </c>
      <c r="H26" s="192">
        <f t="shared" ref="H26:H88" si="9">+E26*5</f>
        <v>1038.95</v>
      </c>
      <c r="I26" s="35"/>
      <c r="J26" s="35">
        <f t="shared" si="7"/>
        <v>4155.8</v>
      </c>
      <c r="K26" s="35">
        <v>92.61</v>
      </c>
      <c r="L26" s="35">
        <f>+G26*1.1875%</f>
        <v>37.012593750000001</v>
      </c>
      <c r="M26" s="193"/>
      <c r="N26" s="35">
        <f>G26*1%</f>
        <v>31.168499999999998</v>
      </c>
      <c r="O26" s="35"/>
      <c r="P26" s="35">
        <f t="shared" si="8"/>
        <v>160.79109374999999</v>
      </c>
      <c r="Q26" s="193">
        <f t="shared" si="6"/>
        <v>3995.0089062500001</v>
      </c>
      <c r="R26" s="34"/>
    </row>
    <row r="27" spans="1:18" ht="70.7" customHeight="1" x14ac:dyDescent="0.25">
      <c r="A27" s="281"/>
      <c r="B27" s="275"/>
      <c r="C27" s="17" t="s">
        <v>26</v>
      </c>
      <c r="D27" s="18" t="s">
        <v>27</v>
      </c>
      <c r="E27" s="19">
        <v>207.79</v>
      </c>
      <c r="F27" s="137">
        <v>15</v>
      </c>
      <c r="G27" s="192">
        <f t="shared" si="5"/>
        <v>3116.85</v>
      </c>
      <c r="H27" s="192">
        <f t="shared" si="9"/>
        <v>1038.95</v>
      </c>
      <c r="I27" s="35"/>
      <c r="J27" s="35">
        <f t="shared" si="7"/>
        <v>4155.8</v>
      </c>
      <c r="K27" s="35">
        <v>92.61</v>
      </c>
      <c r="L27" s="35">
        <f>G27*1.1875%</f>
        <v>37.012593750000001</v>
      </c>
      <c r="M27" s="193"/>
      <c r="N27" s="35">
        <f>G27*1%</f>
        <v>31.168499999999998</v>
      </c>
      <c r="O27" s="35"/>
      <c r="P27" s="35">
        <f t="shared" si="8"/>
        <v>160.79109374999999</v>
      </c>
      <c r="Q27" s="193">
        <f t="shared" si="6"/>
        <v>3995.0089062500001</v>
      </c>
      <c r="R27" s="34"/>
    </row>
    <row r="28" spans="1:18" ht="70.7" customHeight="1" x14ac:dyDescent="0.25">
      <c r="A28" s="281"/>
      <c r="B28" s="275"/>
      <c r="C28" s="17" t="s">
        <v>30</v>
      </c>
      <c r="D28" s="18" t="s">
        <v>31</v>
      </c>
      <c r="E28" s="19">
        <v>180.72</v>
      </c>
      <c r="F28" s="137">
        <v>15</v>
      </c>
      <c r="G28" s="192">
        <f t="shared" si="5"/>
        <v>2710.8</v>
      </c>
      <c r="H28" s="192">
        <f t="shared" si="9"/>
        <v>903.6</v>
      </c>
      <c r="I28" s="35"/>
      <c r="J28" s="35">
        <f t="shared" si="7"/>
        <v>3614.4</v>
      </c>
      <c r="K28" s="35">
        <v>28.18</v>
      </c>
      <c r="L28" s="35">
        <f>G28*1.1875%</f>
        <v>32.190750000000001</v>
      </c>
      <c r="M28" s="193"/>
      <c r="N28" s="35">
        <v>27.11</v>
      </c>
      <c r="O28" s="35"/>
      <c r="P28" s="35">
        <f t="shared" si="8"/>
        <v>87.48075</v>
      </c>
      <c r="Q28" s="193">
        <f t="shared" si="6"/>
        <v>3526.9192499999999</v>
      </c>
      <c r="R28" s="34"/>
    </row>
    <row r="29" spans="1:18" ht="70.7" customHeight="1" x14ac:dyDescent="0.25">
      <c r="A29" s="281"/>
      <c r="B29" s="275"/>
      <c r="C29" s="18" t="s">
        <v>29</v>
      </c>
      <c r="D29" s="18" t="s">
        <v>28</v>
      </c>
      <c r="E29" s="19">
        <v>172.91</v>
      </c>
      <c r="F29" s="137">
        <v>15</v>
      </c>
      <c r="G29" s="192">
        <f t="shared" si="5"/>
        <v>2593.65</v>
      </c>
      <c r="H29" s="192">
        <f t="shared" si="9"/>
        <v>864.55</v>
      </c>
      <c r="I29" s="35"/>
      <c r="J29" s="35">
        <f t="shared" si="7"/>
        <v>3458.2</v>
      </c>
      <c r="K29" s="35">
        <v>0.44</v>
      </c>
      <c r="L29" s="35"/>
      <c r="M29" s="193"/>
      <c r="N29" s="35"/>
      <c r="O29" s="35"/>
      <c r="P29" s="35">
        <f t="shared" si="8"/>
        <v>0.44</v>
      </c>
      <c r="Q29" s="193">
        <f t="shared" si="6"/>
        <v>3457.7599999999998</v>
      </c>
      <c r="R29" s="34"/>
    </row>
    <row r="30" spans="1:18" ht="70.7" customHeight="1" thickBot="1" x14ac:dyDescent="0.3">
      <c r="A30" s="282"/>
      <c r="B30" s="275"/>
      <c r="C30" s="17" t="s">
        <v>190</v>
      </c>
      <c r="D30" s="18" t="s">
        <v>191</v>
      </c>
      <c r="E30" s="19">
        <v>180.72</v>
      </c>
      <c r="F30" s="137">
        <v>15</v>
      </c>
      <c r="G30" s="192">
        <f t="shared" si="5"/>
        <v>2710.8</v>
      </c>
      <c r="H30" s="192">
        <f t="shared" si="9"/>
        <v>903.6</v>
      </c>
      <c r="I30" s="35"/>
      <c r="J30" s="35">
        <f t="shared" si="7"/>
        <v>3614.4</v>
      </c>
      <c r="K30" s="35">
        <v>28.18</v>
      </c>
      <c r="L30" s="35">
        <f>G30*1.1875%</f>
        <v>32.190750000000001</v>
      </c>
      <c r="M30" s="193"/>
      <c r="N30" s="35">
        <f>G30*1%</f>
        <v>27.108000000000004</v>
      </c>
      <c r="O30" s="35"/>
      <c r="P30" s="35">
        <f t="shared" si="8"/>
        <v>87.478750000000005</v>
      </c>
      <c r="Q30" s="194">
        <f t="shared" si="6"/>
        <v>3526.9212499999999</v>
      </c>
      <c r="R30" s="34"/>
    </row>
    <row r="31" spans="1:18" ht="70.7" customHeight="1" x14ac:dyDescent="0.25">
      <c r="A31" s="321" t="s">
        <v>32</v>
      </c>
      <c r="B31" s="37" t="s">
        <v>32</v>
      </c>
      <c r="C31" s="17" t="s">
        <v>33</v>
      </c>
      <c r="D31" s="18" t="s">
        <v>34</v>
      </c>
      <c r="E31" s="19">
        <v>207.79</v>
      </c>
      <c r="F31" s="137">
        <v>15</v>
      </c>
      <c r="G31" s="195">
        <f>E31*F31</f>
        <v>3116.85</v>
      </c>
      <c r="H31" s="192">
        <f t="shared" si="9"/>
        <v>1038.95</v>
      </c>
      <c r="I31" s="35"/>
      <c r="J31" s="35">
        <f t="shared" si="7"/>
        <v>4155.8</v>
      </c>
      <c r="K31" s="35">
        <v>92.61</v>
      </c>
      <c r="L31" s="35">
        <f>G31*1.1875%</f>
        <v>37.012593750000001</v>
      </c>
      <c r="M31" s="193"/>
      <c r="N31" s="35">
        <f>G31*1%</f>
        <v>31.168499999999998</v>
      </c>
      <c r="O31" s="35"/>
      <c r="P31" s="35">
        <f t="shared" si="8"/>
        <v>160.79109374999999</v>
      </c>
      <c r="Q31" s="193">
        <f t="shared" si="6"/>
        <v>3995.0089062500001</v>
      </c>
      <c r="R31" s="34"/>
    </row>
    <row r="32" spans="1:18" ht="70.7" customHeight="1" x14ac:dyDescent="0.25">
      <c r="A32" s="322"/>
      <c r="B32" s="284" t="s">
        <v>36</v>
      </c>
      <c r="C32" s="18" t="s">
        <v>37</v>
      </c>
      <c r="D32" s="18" t="s">
        <v>447</v>
      </c>
      <c r="E32" s="36">
        <v>423.02</v>
      </c>
      <c r="F32" s="142">
        <v>15</v>
      </c>
      <c r="G32" s="195">
        <f t="shared" ref="G32:G40" si="10">E32*F32</f>
        <v>6345.2999999999993</v>
      </c>
      <c r="H32" s="192">
        <f t="shared" si="9"/>
        <v>2115.1</v>
      </c>
      <c r="I32" s="35"/>
      <c r="J32" s="35">
        <f t="shared" si="7"/>
        <v>8460.4</v>
      </c>
      <c r="K32" s="35">
        <v>717.18</v>
      </c>
      <c r="L32" s="35"/>
      <c r="M32" s="193"/>
      <c r="N32" s="35"/>
      <c r="O32" s="35">
        <f>G32*3%</f>
        <v>190.35899999999998</v>
      </c>
      <c r="P32" s="35">
        <f t="shared" si="8"/>
        <v>907.53899999999999</v>
      </c>
      <c r="Q32" s="193">
        <f t="shared" si="6"/>
        <v>7552.8609999999999</v>
      </c>
      <c r="R32" s="34"/>
    </row>
    <row r="33" spans="1:18" ht="70.7" customHeight="1" x14ac:dyDescent="0.25">
      <c r="A33" s="322"/>
      <c r="B33" s="285"/>
      <c r="C33" s="18" t="s">
        <v>33</v>
      </c>
      <c r="D33" s="18" t="s">
        <v>553</v>
      </c>
      <c r="E33" s="36">
        <v>207.79</v>
      </c>
      <c r="F33" s="142">
        <v>15</v>
      </c>
      <c r="G33" s="195">
        <f t="shared" si="10"/>
        <v>3116.85</v>
      </c>
      <c r="H33" s="192">
        <f t="shared" si="9"/>
        <v>1038.95</v>
      </c>
      <c r="I33" s="35"/>
      <c r="J33" s="35">
        <f t="shared" si="7"/>
        <v>4155.8</v>
      </c>
      <c r="K33" s="35">
        <v>92.61</v>
      </c>
      <c r="L33" s="35">
        <f>G33*1.1875%</f>
        <v>37.012593750000001</v>
      </c>
      <c r="M33" s="193"/>
      <c r="N33" s="35">
        <f>G33*1%</f>
        <v>31.168499999999998</v>
      </c>
      <c r="O33" s="35"/>
      <c r="P33" s="35">
        <f t="shared" si="8"/>
        <v>160.79109374999999</v>
      </c>
      <c r="Q33" s="193">
        <f t="shared" si="6"/>
        <v>3995.0089062500001</v>
      </c>
      <c r="R33" s="34"/>
    </row>
    <row r="34" spans="1:18" ht="70.7" customHeight="1" x14ac:dyDescent="0.25">
      <c r="A34" s="322"/>
      <c r="B34" s="266" t="s">
        <v>38</v>
      </c>
      <c r="C34" s="18" t="s">
        <v>37</v>
      </c>
      <c r="D34" s="18" t="s">
        <v>446</v>
      </c>
      <c r="E34" s="36">
        <v>358.8</v>
      </c>
      <c r="F34" s="142">
        <v>15</v>
      </c>
      <c r="G34" s="192">
        <f t="shared" si="10"/>
        <v>5382</v>
      </c>
      <c r="H34" s="192">
        <f t="shared" si="9"/>
        <v>1794</v>
      </c>
      <c r="I34" s="35"/>
      <c r="J34" s="35">
        <f t="shared" si="7"/>
        <v>7176</v>
      </c>
      <c r="K34" s="35">
        <v>530.04</v>
      </c>
      <c r="L34" s="35"/>
      <c r="M34" s="193"/>
      <c r="N34" s="35"/>
      <c r="O34" s="35"/>
      <c r="P34" s="35">
        <f t="shared" si="8"/>
        <v>530.04</v>
      </c>
      <c r="Q34" s="193">
        <f t="shared" si="6"/>
        <v>6645.96</v>
      </c>
      <c r="R34" s="34"/>
    </row>
    <row r="35" spans="1:18" ht="70.7" customHeight="1" thickBot="1" x14ac:dyDescent="0.3">
      <c r="A35" s="323"/>
      <c r="B35" s="267"/>
      <c r="C35" s="18" t="s">
        <v>39</v>
      </c>
      <c r="D35" s="18" t="s">
        <v>40</v>
      </c>
      <c r="E35" s="36">
        <v>238.67</v>
      </c>
      <c r="F35" s="142">
        <v>15</v>
      </c>
      <c r="G35" s="192">
        <f t="shared" si="10"/>
        <v>3580.0499999999997</v>
      </c>
      <c r="H35" s="192">
        <f t="shared" si="9"/>
        <v>1193.3499999999999</v>
      </c>
      <c r="I35" s="35"/>
      <c r="J35" s="35">
        <f t="shared" si="7"/>
        <v>4773.3999999999996</v>
      </c>
      <c r="K35" s="35">
        <v>160.71</v>
      </c>
      <c r="L35" s="35"/>
      <c r="M35" s="193"/>
      <c r="N35" s="35"/>
      <c r="O35" s="35"/>
      <c r="P35" s="35">
        <f t="shared" si="8"/>
        <v>160.71</v>
      </c>
      <c r="Q35" s="193">
        <f t="shared" si="6"/>
        <v>4612.6899999999996</v>
      </c>
      <c r="R35" s="34"/>
    </row>
    <row r="36" spans="1:18" ht="70.7" customHeight="1" x14ac:dyDescent="0.25">
      <c r="A36" s="280" t="s">
        <v>41</v>
      </c>
      <c r="B36" s="37" t="s">
        <v>41</v>
      </c>
      <c r="C36" s="18" t="s">
        <v>43</v>
      </c>
      <c r="D36" s="18" t="s">
        <v>56</v>
      </c>
      <c r="E36" s="36">
        <v>719.46</v>
      </c>
      <c r="F36" s="142">
        <v>15</v>
      </c>
      <c r="G36" s="195">
        <f t="shared" si="10"/>
        <v>10791.900000000001</v>
      </c>
      <c r="H36" s="192">
        <f t="shared" si="9"/>
        <v>3597.3</v>
      </c>
      <c r="I36" s="35"/>
      <c r="J36" s="35">
        <f t="shared" si="7"/>
        <v>14389.2</v>
      </c>
      <c r="K36" s="35">
        <v>1666.98</v>
      </c>
      <c r="L36" s="35"/>
      <c r="M36" s="193"/>
      <c r="N36" s="35"/>
      <c r="O36" s="35">
        <f>G36*4%</f>
        <v>431.67600000000004</v>
      </c>
      <c r="P36" s="35">
        <f t="shared" si="8"/>
        <v>2098.6559999999999</v>
      </c>
      <c r="Q36" s="193">
        <f t="shared" si="6"/>
        <v>12290.544000000002</v>
      </c>
      <c r="R36" s="34"/>
    </row>
    <row r="37" spans="1:18" ht="70.7" customHeight="1" x14ac:dyDescent="0.25">
      <c r="A37" s="281"/>
      <c r="B37" s="266" t="s">
        <v>44</v>
      </c>
      <c r="C37" s="18" t="s">
        <v>37</v>
      </c>
      <c r="D37" s="18" t="s">
        <v>45</v>
      </c>
      <c r="E37" s="36">
        <v>423.02</v>
      </c>
      <c r="F37" s="142">
        <v>15</v>
      </c>
      <c r="G37" s="195">
        <f t="shared" si="10"/>
        <v>6345.2999999999993</v>
      </c>
      <c r="H37" s="192">
        <f t="shared" si="9"/>
        <v>2115.1</v>
      </c>
      <c r="I37" s="35"/>
      <c r="J37" s="35">
        <f t="shared" si="7"/>
        <v>8460.4</v>
      </c>
      <c r="K37" s="35">
        <v>717.18</v>
      </c>
      <c r="L37" s="35"/>
      <c r="M37" s="193"/>
      <c r="N37" s="35"/>
      <c r="O37" s="35">
        <f>G37*3%</f>
        <v>190.35899999999998</v>
      </c>
      <c r="P37" s="35">
        <f t="shared" si="8"/>
        <v>907.53899999999999</v>
      </c>
      <c r="Q37" s="193">
        <f t="shared" si="6"/>
        <v>7552.8609999999999</v>
      </c>
      <c r="R37" s="34"/>
    </row>
    <row r="38" spans="1:18" ht="70.7" customHeight="1" x14ac:dyDescent="0.25">
      <c r="A38" s="281"/>
      <c r="B38" s="272"/>
      <c r="C38" s="17" t="s">
        <v>49</v>
      </c>
      <c r="D38" s="18" t="s">
        <v>46</v>
      </c>
      <c r="E38" s="36">
        <v>225.21</v>
      </c>
      <c r="F38" s="141">
        <v>15</v>
      </c>
      <c r="G38" s="196">
        <f t="shared" si="10"/>
        <v>3378.15</v>
      </c>
      <c r="H38" s="192">
        <f t="shared" si="9"/>
        <v>1126.05</v>
      </c>
      <c r="I38" s="35"/>
      <c r="J38" s="35">
        <f t="shared" si="7"/>
        <v>4504.2</v>
      </c>
      <c r="K38" s="35">
        <v>121.04</v>
      </c>
      <c r="L38" s="35">
        <f>G38*1.1875%</f>
        <v>40.115531250000004</v>
      </c>
      <c r="M38" s="193"/>
      <c r="N38" s="35">
        <f>G38*1%</f>
        <v>33.781500000000001</v>
      </c>
      <c r="O38" s="35"/>
      <c r="P38" s="35">
        <f t="shared" si="8"/>
        <v>194.93703125000002</v>
      </c>
      <c r="Q38" s="193">
        <f t="shared" si="6"/>
        <v>4309.2629687499993</v>
      </c>
      <c r="R38" s="34"/>
    </row>
    <row r="39" spans="1:18" ht="70.7" customHeight="1" x14ac:dyDescent="0.25">
      <c r="A39" s="281"/>
      <c r="B39" s="272"/>
      <c r="C39" s="17" t="s">
        <v>33</v>
      </c>
      <c r="D39" s="18" t="s">
        <v>47</v>
      </c>
      <c r="E39" s="36">
        <v>207.79</v>
      </c>
      <c r="F39" s="141">
        <v>15</v>
      </c>
      <c r="G39" s="196">
        <f t="shared" si="10"/>
        <v>3116.85</v>
      </c>
      <c r="H39" s="192">
        <f t="shared" si="9"/>
        <v>1038.95</v>
      </c>
      <c r="I39" s="35"/>
      <c r="J39" s="35">
        <f t="shared" si="7"/>
        <v>4155.8</v>
      </c>
      <c r="K39" s="35">
        <v>92.61</v>
      </c>
      <c r="L39" s="35">
        <f>G39*1.1875%</f>
        <v>37.012593750000001</v>
      </c>
      <c r="M39" s="193"/>
      <c r="N39" s="35">
        <f>G39*1%</f>
        <v>31.168499999999998</v>
      </c>
      <c r="O39" s="35"/>
      <c r="P39" s="35">
        <f t="shared" si="8"/>
        <v>160.79109374999999</v>
      </c>
      <c r="Q39" s="193">
        <f t="shared" si="6"/>
        <v>3995.0089062500001</v>
      </c>
      <c r="R39" s="34"/>
    </row>
    <row r="40" spans="1:18" ht="70.7" customHeight="1" x14ac:dyDescent="0.25">
      <c r="A40" s="281"/>
      <c r="B40" s="272"/>
      <c r="C40" s="18" t="s">
        <v>33</v>
      </c>
      <c r="D40" s="18" t="s">
        <v>48</v>
      </c>
      <c r="E40" s="36">
        <v>207.79</v>
      </c>
      <c r="F40" s="141">
        <v>15</v>
      </c>
      <c r="G40" s="196">
        <f t="shared" si="10"/>
        <v>3116.85</v>
      </c>
      <c r="H40" s="192">
        <f t="shared" si="9"/>
        <v>1038.95</v>
      </c>
      <c r="I40" s="35"/>
      <c r="J40" s="35">
        <f t="shared" si="7"/>
        <v>4155.8</v>
      </c>
      <c r="K40" s="35">
        <v>92.61</v>
      </c>
      <c r="L40" s="35"/>
      <c r="M40" s="193"/>
      <c r="N40" s="35"/>
      <c r="O40" s="35"/>
      <c r="P40" s="35">
        <f t="shared" si="8"/>
        <v>92.61</v>
      </c>
      <c r="Q40" s="193">
        <f t="shared" si="6"/>
        <v>4063.19</v>
      </c>
      <c r="R40" s="34"/>
    </row>
    <row r="41" spans="1:18" ht="70.7" customHeight="1" x14ac:dyDescent="0.25">
      <c r="A41" s="281"/>
      <c r="B41" s="267"/>
      <c r="C41" s="17" t="s">
        <v>33</v>
      </c>
      <c r="D41" s="18" t="s">
        <v>50</v>
      </c>
      <c r="E41" s="36">
        <v>207.79</v>
      </c>
      <c r="F41" s="141">
        <v>15</v>
      </c>
      <c r="G41" s="196">
        <f>E41*F41</f>
        <v>3116.85</v>
      </c>
      <c r="H41" s="192">
        <f t="shared" si="9"/>
        <v>1038.95</v>
      </c>
      <c r="I41" s="35"/>
      <c r="J41" s="35">
        <f t="shared" si="7"/>
        <v>4155.8</v>
      </c>
      <c r="K41" s="35">
        <v>92.61</v>
      </c>
      <c r="L41" s="35">
        <f>G41*1.1875%</f>
        <v>37.012593750000001</v>
      </c>
      <c r="M41" s="193"/>
      <c r="N41" s="35">
        <v>31.17</v>
      </c>
      <c r="O41" s="35"/>
      <c r="P41" s="35">
        <f t="shared" si="8"/>
        <v>160.79259374999998</v>
      </c>
      <c r="Q41" s="193">
        <f t="shared" si="6"/>
        <v>3995.0074062500003</v>
      </c>
      <c r="R41" s="34"/>
    </row>
    <row r="42" spans="1:18" ht="70.7" customHeight="1" thickBot="1" x14ac:dyDescent="0.3">
      <c r="A42" s="282"/>
      <c r="B42" s="37" t="s">
        <v>51</v>
      </c>
      <c r="C42" s="18" t="s">
        <v>37</v>
      </c>
      <c r="D42" s="18"/>
      <c r="E42" s="36">
        <v>400</v>
      </c>
      <c r="F42" s="141"/>
      <c r="G42" s="196">
        <f>E42*F42</f>
        <v>0</v>
      </c>
      <c r="H42" s="192"/>
      <c r="I42" s="35"/>
      <c r="J42" s="35">
        <f t="shared" si="7"/>
        <v>0</v>
      </c>
      <c r="K42" s="35"/>
      <c r="L42" s="35"/>
      <c r="M42" s="193"/>
      <c r="N42" s="35"/>
      <c r="O42" s="35">
        <f>G42*3%</f>
        <v>0</v>
      </c>
      <c r="P42" s="35">
        <f t="shared" si="8"/>
        <v>0</v>
      </c>
      <c r="Q42" s="193">
        <f t="shared" si="6"/>
        <v>0</v>
      </c>
      <c r="R42" s="34"/>
    </row>
    <row r="43" spans="1:18" ht="70.7" customHeight="1" x14ac:dyDescent="0.25">
      <c r="A43" s="253" t="s">
        <v>53</v>
      </c>
      <c r="B43" s="284" t="s">
        <v>54</v>
      </c>
      <c r="C43" s="18" t="s">
        <v>55</v>
      </c>
      <c r="D43" s="18" t="s">
        <v>269</v>
      </c>
      <c r="E43" s="36">
        <v>705.14</v>
      </c>
      <c r="F43" s="141">
        <v>15</v>
      </c>
      <c r="G43" s="196">
        <f t="shared" ref="G43:G50" si="11">E43*F43</f>
        <v>10577.1</v>
      </c>
      <c r="H43" s="192">
        <f t="shared" si="9"/>
        <v>3525.7</v>
      </c>
      <c r="I43" s="35"/>
      <c r="J43" s="35">
        <f t="shared" si="7"/>
        <v>14102.8</v>
      </c>
      <c r="K43" s="35">
        <v>1621.09</v>
      </c>
      <c r="L43" s="35"/>
      <c r="M43" s="193"/>
      <c r="N43" s="35"/>
      <c r="O43" s="35">
        <f>G43*4%</f>
        <v>423.084</v>
      </c>
      <c r="P43" s="35">
        <f t="shared" si="8"/>
        <v>2044.174</v>
      </c>
      <c r="Q43" s="193">
        <f t="shared" si="6"/>
        <v>12058.626</v>
      </c>
      <c r="R43" s="34"/>
    </row>
    <row r="44" spans="1:18" ht="70.7" customHeight="1" x14ac:dyDescent="0.25">
      <c r="A44" s="254"/>
      <c r="B44" s="283"/>
      <c r="C44" s="17" t="s">
        <v>33</v>
      </c>
      <c r="D44" s="18" t="s">
        <v>440</v>
      </c>
      <c r="E44" s="36">
        <v>207.79</v>
      </c>
      <c r="F44" s="141"/>
      <c r="G44" s="196">
        <f t="shared" si="11"/>
        <v>0</v>
      </c>
      <c r="H44" s="192"/>
      <c r="I44" s="35"/>
      <c r="J44" s="35">
        <f t="shared" si="7"/>
        <v>0</v>
      </c>
      <c r="K44" s="35"/>
      <c r="L44" s="35"/>
      <c r="M44" s="193"/>
      <c r="N44" s="35"/>
      <c r="O44" s="35"/>
      <c r="P44" s="35">
        <f t="shared" si="8"/>
        <v>0</v>
      </c>
      <c r="Q44" s="193">
        <f t="shared" si="6"/>
        <v>0</v>
      </c>
      <c r="R44" s="34"/>
    </row>
    <row r="45" spans="1:18" ht="70.7" customHeight="1" x14ac:dyDescent="0.25">
      <c r="A45" s="254"/>
      <c r="B45" s="285"/>
      <c r="C45" s="17" t="s">
        <v>345</v>
      </c>
      <c r="D45" s="18" t="s">
        <v>440</v>
      </c>
      <c r="E45" s="19">
        <v>320</v>
      </c>
      <c r="F45" s="142"/>
      <c r="G45" s="196">
        <f t="shared" si="11"/>
        <v>0</v>
      </c>
      <c r="H45" s="192"/>
      <c r="I45" s="35"/>
      <c r="J45" s="35">
        <f t="shared" si="7"/>
        <v>0</v>
      </c>
      <c r="K45" s="35"/>
      <c r="L45" s="35"/>
      <c r="M45" s="193"/>
      <c r="N45" s="35"/>
      <c r="O45" s="35"/>
      <c r="P45" s="35">
        <f t="shared" si="8"/>
        <v>0</v>
      </c>
      <c r="Q45" s="193">
        <f t="shared" si="6"/>
        <v>0</v>
      </c>
      <c r="R45" s="34"/>
    </row>
    <row r="46" spans="1:18" ht="70.7" customHeight="1" x14ac:dyDescent="0.25">
      <c r="A46" s="254"/>
      <c r="B46" s="284" t="s">
        <v>58</v>
      </c>
      <c r="C46" s="18" t="s">
        <v>57</v>
      </c>
      <c r="D46" s="18" t="s">
        <v>59</v>
      </c>
      <c r="E46" s="36">
        <v>358.08</v>
      </c>
      <c r="F46" s="141">
        <v>15</v>
      </c>
      <c r="G46" s="196">
        <f t="shared" si="11"/>
        <v>5371.2</v>
      </c>
      <c r="H46" s="192">
        <f t="shared" si="9"/>
        <v>1790.3999999999999</v>
      </c>
      <c r="I46" s="35"/>
      <c r="J46" s="35">
        <f t="shared" si="7"/>
        <v>7161.5999999999995</v>
      </c>
      <c r="K46" s="35">
        <v>530.04</v>
      </c>
      <c r="L46" s="35"/>
      <c r="M46" s="193"/>
      <c r="N46" s="35"/>
      <c r="O46" s="35">
        <f>G46*3%</f>
        <v>161.136</v>
      </c>
      <c r="P46" s="35">
        <f t="shared" si="8"/>
        <v>691.17599999999993</v>
      </c>
      <c r="Q46" s="194">
        <f t="shared" si="6"/>
        <v>6470.4239999999991</v>
      </c>
      <c r="R46" s="34"/>
    </row>
    <row r="47" spans="1:18" ht="70.7" customHeight="1" x14ac:dyDescent="0.25">
      <c r="A47" s="254"/>
      <c r="B47" s="285"/>
      <c r="C47" s="18" t="s">
        <v>110</v>
      </c>
      <c r="D47" s="18" t="s">
        <v>235</v>
      </c>
      <c r="E47" s="36">
        <v>174.01</v>
      </c>
      <c r="F47" s="141">
        <v>15</v>
      </c>
      <c r="G47" s="196">
        <f t="shared" si="11"/>
        <v>2610.1499999999996</v>
      </c>
      <c r="H47" s="192">
        <f t="shared" si="9"/>
        <v>870.05</v>
      </c>
      <c r="I47" s="35"/>
      <c r="J47" s="35">
        <f t="shared" si="7"/>
        <v>3480.2</v>
      </c>
      <c r="K47" s="35">
        <v>2.23</v>
      </c>
      <c r="L47" s="35">
        <f>G47*1.1875%</f>
        <v>30.995531249999996</v>
      </c>
      <c r="M47" s="193"/>
      <c r="N47" s="35">
        <f>G47*1%</f>
        <v>26.101499999999998</v>
      </c>
      <c r="O47" s="35"/>
      <c r="P47" s="35">
        <f t="shared" si="8"/>
        <v>59.32703124999999</v>
      </c>
      <c r="Q47" s="193">
        <f t="shared" si="6"/>
        <v>3420.8729687499999</v>
      </c>
      <c r="R47" s="34"/>
    </row>
    <row r="48" spans="1:18" ht="70.7" customHeight="1" x14ac:dyDescent="0.25">
      <c r="A48" s="254"/>
      <c r="B48" s="38" t="s">
        <v>60</v>
      </c>
      <c r="C48" s="18" t="s">
        <v>61</v>
      </c>
      <c r="D48" s="18" t="s">
        <v>62</v>
      </c>
      <c r="E48" s="36">
        <v>400</v>
      </c>
      <c r="F48" s="141">
        <v>15</v>
      </c>
      <c r="G48" s="196">
        <f t="shared" si="11"/>
        <v>6000</v>
      </c>
      <c r="H48" s="192">
        <f t="shared" si="9"/>
        <v>2000</v>
      </c>
      <c r="I48" s="35"/>
      <c r="J48" s="35">
        <f t="shared" si="7"/>
        <v>8000</v>
      </c>
      <c r="K48" s="35">
        <v>643.42999999999995</v>
      </c>
      <c r="L48" s="193"/>
      <c r="M48" s="193"/>
      <c r="N48" s="35"/>
      <c r="O48" s="35">
        <f>G48*3%</f>
        <v>180</v>
      </c>
      <c r="P48" s="35">
        <f t="shared" si="8"/>
        <v>823.43</v>
      </c>
      <c r="Q48" s="193">
        <f t="shared" si="6"/>
        <v>7176.57</v>
      </c>
      <c r="R48" s="34"/>
    </row>
    <row r="49" spans="1:18" ht="70.7" customHeight="1" x14ac:dyDescent="0.25">
      <c r="A49" s="254"/>
      <c r="B49" s="284" t="s">
        <v>63</v>
      </c>
      <c r="C49" s="18" t="s">
        <v>64</v>
      </c>
      <c r="D49" s="18" t="s">
        <v>65</v>
      </c>
      <c r="E49" s="36">
        <v>358.8</v>
      </c>
      <c r="F49" s="141">
        <v>15</v>
      </c>
      <c r="G49" s="196">
        <f t="shared" si="11"/>
        <v>5382</v>
      </c>
      <c r="H49" s="192">
        <f>+E49*4.15</f>
        <v>1489.0200000000002</v>
      </c>
      <c r="I49" s="35"/>
      <c r="J49" s="35">
        <f t="shared" si="7"/>
        <v>6871.02</v>
      </c>
      <c r="K49" s="35">
        <v>530.04</v>
      </c>
      <c r="L49" s="35"/>
      <c r="M49" s="193"/>
      <c r="N49" s="35"/>
      <c r="O49" s="35">
        <f>G49*3%</f>
        <v>161.46</v>
      </c>
      <c r="P49" s="35">
        <f t="shared" si="8"/>
        <v>691.5</v>
      </c>
      <c r="Q49" s="193">
        <f t="shared" si="6"/>
        <v>6179.52</v>
      </c>
      <c r="R49" s="34"/>
    </row>
    <row r="50" spans="1:18" ht="70.7" customHeight="1" x14ac:dyDescent="0.25">
      <c r="A50" s="254"/>
      <c r="B50" s="283"/>
      <c r="C50" s="18" t="s">
        <v>66</v>
      </c>
      <c r="D50" s="18" t="s">
        <v>68</v>
      </c>
      <c r="E50" s="36">
        <v>290</v>
      </c>
      <c r="F50" s="141">
        <v>15</v>
      </c>
      <c r="G50" s="196">
        <f t="shared" si="11"/>
        <v>4350</v>
      </c>
      <c r="H50" s="192">
        <f t="shared" si="9"/>
        <v>1450</v>
      </c>
      <c r="I50" s="35"/>
      <c r="J50" s="35">
        <f t="shared" si="7"/>
        <v>5800</v>
      </c>
      <c r="K50" s="35">
        <v>356.58</v>
      </c>
      <c r="L50" s="35">
        <f>G50*1.1875%</f>
        <v>51.65625</v>
      </c>
      <c r="M50" s="193"/>
      <c r="N50" s="35">
        <f>G50*1%</f>
        <v>43.5</v>
      </c>
      <c r="O50" s="35"/>
      <c r="P50" s="35">
        <f t="shared" si="8"/>
        <v>451.73624999999998</v>
      </c>
      <c r="Q50" s="193">
        <f t="shared" si="6"/>
        <v>5348.2637500000001</v>
      </c>
      <c r="R50" s="34"/>
    </row>
    <row r="51" spans="1:18" ht="70.7" customHeight="1" x14ac:dyDescent="0.25">
      <c r="A51" s="254"/>
      <c r="B51" s="283"/>
      <c r="C51" s="18" t="s">
        <v>67</v>
      </c>
      <c r="D51" s="18" t="s">
        <v>69</v>
      </c>
      <c r="E51" s="36">
        <v>258.20999999999998</v>
      </c>
      <c r="F51" s="141">
        <v>15</v>
      </c>
      <c r="G51" s="196">
        <f>E51*F51</f>
        <v>3873.1499999999996</v>
      </c>
      <c r="H51" s="192">
        <f t="shared" si="9"/>
        <v>1291.05</v>
      </c>
      <c r="I51" s="35"/>
      <c r="J51" s="35">
        <f t="shared" si="7"/>
        <v>5164.2</v>
      </c>
      <c r="K51" s="35">
        <v>300</v>
      </c>
      <c r="L51" s="35">
        <f>G51*1.1875%</f>
        <v>45.993656249999994</v>
      </c>
      <c r="M51" s="193"/>
      <c r="N51" s="35">
        <f>G51*1%</f>
        <v>38.731499999999997</v>
      </c>
      <c r="O51" s="35"/>
      <c r="P51" s="35">
        <f t="shared" si="8"/>
        <v>384.72515625</v>
      </c>
      <c r="Q51" s="193">
        <f t="shared" si="6"/>
        <v>4779.4748437500002</v>
      </c>
      <c r="R51" s="34"/>
    </row>
    <row r="52" spans="1:18" ht="70.7" customHeight="1" x14ac:dyDescent="0.25">
      <c r="A52" s="254"/>
      <c r="B52" s="285"/>
      <c r="C52" s="18" t="s">
        <v>80</v>
      </c>
      <c r="D52" s="18" t="s">
        <v>297</v>
      </c>
      <c r="E52" s="36">
        <v>211.27</v>
      </c>
      <c r="F52" s="141">
        <v>15</v>
      </c>
      <c r="G52" s="196">
        <f>E52*F52</f>
        <v>3169.05</v>
      </c>
      <c r="H52" s="192">
        <f t="shared" si="9"/>
        <v>1056.3500000000001</v>
      </c>
      <c r="I52" s="35"/>
      <c r="J52" s="35">
        <f t="shared" si="7"/>
        <v>4225.4000000000005</v>
      </c>
      <c r="K52" s="35">
        <v>98.29</v>
      </c>
      <c r="L52" s="35"/>
      <c r="M52" s="193"/>
      <c r="N52" s="35"/>
      <c r="O52" s="35"/>
      <c r="P52" s="35">
        <f t="shared" si="8"/>
        <v>98.29</v>
      </c>
      <c r="Q52" s="193">
        <f t="shared" si="6"/>
        <v>4127.1100000000006</v>
      </c>
      <c r="R52" s="34"/>
    </row>
    <row r="53" spans="1:18" ht="70.7" customHeight="1" x14ac:dyDescent="0.25">
      <c r="A53" s="254"/>
      <c r="B53" s="244" t="s">
        <v>70</v>
      </c>
      <c r="C53" s="18" t="s">
        <v>64</v>
      </c>
      <c r="D53" s="18" t="s">
        <v>442</v>
      </c>
      <c r="E53" s="36">
        <v>400</v>
      </c>
      <c r="F53" s="141">
        <v>15</v>
      </c>
      <c r="G53" s="196">
        <f t="shared" ref="G53:G92" si="12">E53*F53</f>
        <v>6000</v>
      </c>
      <c r="H53" s="192">
        <f t="shared" si="9"/>
        <v>2000</v>
      </c>
      <c r="I53" s="35"/>
      <c r="J53" s="35">
        <f t="shared" si="7"/>
        <v>8000</v>
      </c>
      <c r="K53" s="35">
        <v>643.42999999999995</v>
      </c>
      <c r="L53" s="35"/>
      <c r="M53" s="193">
        <v>714.26</v>
      </c>
      <c r="N53" s="35"/>
      <c r="O53" s="35">
        <f>G53*3%</f>
        <v>180</v>
      </c>
      <c r="P53" s="35">
        <f t="shared" si="8"/>
        <v>1537.69</v>
      </c>
      <c r="Q53" s="193">
        <f t="shared" si="6"/>
        <v>6462.3099999999995</v>
      </c>
      <c r="R53" s="34"/>
    </row>
    <row r="54" spans="1:18" ht="70.7" customHeight="1" x14ac:dyDescent="0.25">
      <c r="A54" s="254"/>
      <c r="B54" s="245"/>
      <c r="C54" s="18" t="s">
        <v>71</v>
      </c>
      <c r="D54" s="18" t="s">
        <v>72</v>
      </c>
      <c r="E54" s="36">
        <v>358.8</v>
      </c>
      <c r="F54" s="141">
        <v>15</v>
      </c>
      <c r="G54" s="196">
        <f t="shared" si="12"/>
        <v>5382</v>
      </c>
      <c r="H54" s="192">
        <f t="shared" si="9"/>
        <v>1794</v>
      </c>
      <c r="I54" s="35"/>
      <c r="J54" s="35">
        <f t="shared" si="7"/>
        <v>7176</v>
      </c>
      <c r="K54" s="35">
        <v>530.04</v>
      </c>
      <c r="L54" s="35"/>
      <c r="M54" s="193"/>
      <c r="N54" s="35"/>
      <c r="O54" s="35">
        <f>G54*3%</f>
        <v>161.46</v>
      </c>
      <c r="P54" s="35">
        <f t="shared" si="8"/>
        <v>691.5</v>
      </c>
      <c r="Q54" s="193">
        <f t="shared" si="6"/>
        <v>6484.5</v>
      </c>
      <c r="R54" s="34"/>
    </row>
    <row r="55" spans="1:18" ht="70.7" customHeight="1" x14ac:dyDescent="0.25">
      <c r="A55" s="254" t="s">
        <v>53</v>
      </c>
      <c r="B55" s="244" t="s">
        <v>70</v>
      </c>
      <c r="C55" s="18" t="s">
        <v>465</v>
      </c>
      <c r="D55" s="18" t="s">
        <v>73</v>
      </c>
      <c r="E55" s="36">
        <v>320</v>
      </c>
      <c r="F55" s="141">
        <v>15</v>
      </c>
      <c r="G55" s="196">
        <f t="shared" si="12"/>
        <v>4800</v>
      </c>
      <c r="H55" s="192">
        <f t="shared" si="9"/>
        <v>1600</v>
      </c>
      <c r="I55" s="35"/>
      <c r="J55" s="35">
        <f t="shared" si="7"/>
        <v>6400</v>
      </c>
      <c r="K55" s="35">
        <v>428.58</v>
      </c>
      <c r="L55" s="35">
        <f>G55*1.1875%</f>
        <v>57</v>
      </c>
      <c r="M55" s="193"/>
      <c r="N55" s="35">
        <f>G55*1%</f>
        <v>48</v>
      </c>
      <c r="O55" s="35"/>
      <c r="P55" s="35">
        <f t="shared" si="8"/>
        <v>533.57999999999993</v>
      </c>
      <c r="Q55" s="193">
        <f t="shared" si="6"/>
        <v>5866.42</v>
      </c>
      <c r="R55" s="34"/>
    </row>
    <row r="56" spans="1:18" ht="70.7" customHeight="1" x14ac:dyDescent="0.25">
      <c r="A56" s="254"/>
      <c r="B56" s="245"/>
      <c r="C56" s="18" t="s">
        <v>466</v>
      </c>
      <c r="D56" s="18" t="s">
        <v>440</v>
      </c>
      <c r="E56" s="36">
        <v>280</v>
      </c>
      <c r="F56" s="141"/>
      <c r="G56" s="196">
        <f t="shared" si="12"/>
        <v>0</v>
      </c>
      <c r="H56" s="192"/>
      <c r="I56" s="35"/>
      <c r="J56" s="35">
        <f t="shared" si="7"/>
        <v>0</v>
      </c>
      <c r="K56" s="35"/>
      <c r="L56" s="35"/>
      <c r="M56" s="193"/>
      <c r="N56" s="35"/>
      <c r="O56" s="35"/>
      <c r="P56" s="35">
        <f t="shared" si="8"/>
        <v>0</v>
      </c>
      <c r="Q56" s="193">
        <f t="shared" si="6"/>
        <v>0</v>
      </c>
      <c r="R56" s="34"/>
    </row>
    <row r="57" spans="1:18" ht="70.7" customHeight="1" x14ac:dyDescent="0.25">
      <c r="A57" s="254"/>
      <c r="B57" s="284" t="s">
        <v>252</v>
      </c>
      <c r="C57" s="18" t="s">
        <v>253</v>
      </c>
      <c r="D57" s="18" t="s">
        <v>244</v>
      </c>
      <c r="E57" s="36">
        <v>164.98</v>
      </c>
      <c r="F57" s="141">
        <v>15</v>
      </c>
      <c r="G57" s="196">
        <f t="shared" si="12"/>
        <v>2474.6999999999998</v>
      </c>
      <c r="H57" s="192">
        <f t="shared" si="9"/>
        <v>824.9</v>
      </c>
      <c r="I57" s="35">
        <v>12.5</v>
      </c>
      <c r="J57" s="35">
        <f t="shared" si="7"/>
        <v>3312.1</v>
      </c>
      <c r="K57" s="35"/>
      <c r="L57" s="35"/>
      <c r="M57" s="193"/>
      <c r="N57" s="35"/>
      <c r="O57" s="35"/>
      <c r="P57" s="35">
        <f t="shared" si="8"/>
        <v>0</v>
      </c>
      <c r="Q57" s="194">
        <f t="shared" si="6"/>
        <v>3312.1</v>
      </c>
      <c r="R57" s="34"/>
    </row>
    <row r="58" spans="1:18" ht="70.7" customHeight="1" x14ac:dyDescent="0.25">
      <c r="A58" s="254"/>
      <c r="B58" s="283"/>
      <c r="C58" s="18" t="s">
        <v>248</v>
      </c>
      <c r="D58" s="18" t="s">
        <v>245</v>
      </c>
      <c r="E58" s="36">
        <v>108.16</v>
      </c>
      <c r="F58" s="141">
        <v>15</v>
      </c>
      <c r="G58" s="196">
        <f t="shared" si="12"/>
        <v>1622.3999999999999</v>
      </c>
      <c r="H58" s="192">
        <f t="shared" si="9"/>
        <v>540.79999999999995</v>
      </c>
      <c r="I58" s="35">
        <v>109.59</v>
      </c>
      <c r="J58" s="35">
        <f t="shared" si="7"/>
        <v>2272.79</v>
      </c>
      <c r="K58" s="35"/>
      <c r="L58" s="35"/>
      <c r="M58" s="193"/>
      <c r="N58" s="35"/>
      <c r="O58" s="35"/>
      <c r="P58" s="35">
        <f t="shared" si="8"/>
        <v>0</v>
      </c>
      <c r="Q58" s="194">
        <f t="shared" si="6"/>
        <v>2272.79</v>
      </c>
      <c r="R58" s="34"/>
    </row>
    <row r="59" spans="1:18" ht="70.7" customHeight="1" x14ac:dyDescent="0.25">
      <c r="A59" s="254"/>
      <c r="B59" s="283"/>
      <c r="C59" s="18" t="s">
        <v>249</v>
      </c>
      <c r="D59" s="18" t="s">
        <v>246</v>
      </c>
      <c r="E59" s="36">
        <v>100.86</v>
      </c>
      <c r="F59" s="141">
        <v>15</v>
      </c>
      <c r="G59" s="196">
        <f t="shared" si="12"/>
        <v>1512.9</v>
      </c>
      <c r="H59" s="192">
        <f t="shared" si="9"/>
        <v>504.3</v>
      </c>
      <c r="I59" s="35">
        <v>116.59</v>
      </c>
      <c r="J59" s="35">
        <f t="shared" si="7"/>
        <v>2133.79</v>
      </c>
      <c r="K59" s="35"/>
      <c r="L59" s="35"/>
      <c r="M59" s="193"/>
      <c r="N59" s="35"/>
      <c r="O59" s="35"/>
      <c r="P59" s="35">
        <f t="shared" si="8"/>
        <v>0</v>
      </c>
      <c r="Q59" s="194">
        <f t="shared" si="6"/>
        <v>2133.79</v>
      </c>
      <c r="R59" s="34"/>
    </row>
    <row r="60" spans="1:18" ht="70.7" customHeight="1" x14ac:dyDescent="0.25">
      <c r="A60" s="254"/>
      <c r="B60" s="283"/>
      <c r="C60" s="18" t="s">
        <v>250</v>
      </c>
      <c r="D60" s="18" t="s">
        <v>247</v>
      </c>
      <c r="E60" s="36">
        <v>86.37</v>
      </c>
      <c r="F60" s="141">
        <v>15</v>
      </c>
      <c r="G60" s="196">
        <f t="shared" si="12"/>
        <v>1295.5500000000002</v>
      </c>
      <c r="H60" s="192">
        <f t="shared" si="9"/>
        <v>431.85</v>
      </c>
      <c r="I60" s="35">
        <v>130.5</v>
      </c>
      <c r="J60" s="35">
        <f t="shared" si="7"/>
        <v>1857.9</v>
      </c>
      <c r="K60" s="35"/>
      <c r="L60" s="35"/>
      <c r="M60" s="193"/>
      <c r="N60" s="35"/>
      <c r="O60" s="35"/>
      <c r="P60" s="35">
        <f t="shared" si="8"/>
        <v>0</v>
      </c>
      <c r="Q60" s="193">
        <f t="shared" si="6"/>
        <v>1857.9</v>
      </c>
      <c r="R60" s="34"/>
    </row>
    <row r="61" spans="1:18" ht="70.7" customHeight="1" x14ac:dyDescent="0.25">
      <c r="A61" s="254"/>
      <c r="B61" s="283"/>
      <c r="C61" s="18" t="s">
        <v>80</v>
      </c>
      <c r="D61" s="18" t="s">
        <v>266</v>
      </c>
      <c r="E61" s="36">
        <v>166</v>
      </c>
      <c r="F61" s="141">
        <v>15</v>
      </c>
      <c r="G61" s="196">
        <f t="shared" si="12"/>
        <v>2490</v>
      </c>
      <c r="H61" s="192">
        <f t="shared" si="9"/>
        <v>830</v>
      </c>
      <c r="I61" s="35">
        <v>10.84</v>
      </c>
      <c r="J61" s="35">
        <f t="shared" si="7"/>
        <v>3330.84</v>
      </c>
      <c r="K61" s="35"/>
      <c r="L61" s="35"/>
      <c r="M61" s="193"/>
      <c r="N61" s="35"/>
      <c r="O61" s="35"/>
      <c r="P61" s="35">
        <f t="shared" si="8"/>
        <v>0</v>
      </c>
      <c r="Q61" s="194">
        <f t="shared" si="6"/>
        <v>3330.84</v>
      </c>
      <c r="R61" s="34"/>
    </row>
    <row r="62" spans="1:18" ht="70.7" customHeight="1" x14ac:dyDescent="0.25">
      <c r="A62" s="254"/>
      <c r="B62" s="285"/>
      <c r="C62" s="18" t="s">
        <v>80</v>
      </c>
      <c r="D62" s="18" t="s">
        <v>620</v>
      </c>
      <c r="E62" s="36">
        <v>166</v>
      </c>
      <c r="F62" s="141">
        <v>15</v>
      </c>
      <c r="G62" s="196">
        <f t="shared" si="12"/>
        <v>2490</v>
      </c>
      <c r="H62" s="192">
        <f t="shared" si="9"/>
        <v>830</v>
      </c>
      <c r="I62" s="35">
        <v>10.84</v>
      </c>
      <c r="J62" s="35">
        <f t="shared" si="7"/>
        <v>3330.84</v>
      </c>
      <c r="K62" s="35"/>
      <c r="L62" s="35"/>
      <c r="M62" s="193"/>
      <c r="N62" s="35"/>
      <c r="O62" s="35"/>
      <c r="P62" s="35">
        <f t="shared" si="8"/>
        <v>0</v>
      </c>
      <c r="Q62" s="194">
        <f t="shared" si="6"/>
        <v>3330.84</v>
      </c>
      <c r="R62" s="34"/>
    </row>
    <row r="63" spans="1:18" ht="70.7" customHeight="1" x14ac:dyDescent="0.25">
      <c r="A63" s="254"/>
      <c r="B63" s="284" t="s">
        <v>254</v>
      </c>
      <c r="C63" s="18" t="s">
        <v>255</v>
      </c>
      <c r="D63" s="18" t="s">
        <v>251</v>
      </c>
      <c r="E63" s="36">
        <v>164.98</v>
      </c>
      <c r="F63" s="141">
        <v>15</v>
      </c>
      <c r="G63" s="196">
        <f t="shared" si="12"/>
        <v>2474.6999999999998</v>
      </c>
      <c r="H63" s="192">
        <f t="shared" si="9"/>
        <v>824.9</v>
      </c>
      <c r="I63" s="35">
        <v>12.5</v>
      </c>
      <c r="J63" s="35">
        <f t="shared" si="7"/>
        <v>3312.1</v>
      </c>
      <c r="K63" s="35"/>
      <c r="L63" s="35"/>
      <c r="M63" s="193"/>
      <c r="N63" s="35"/>
      <c r="O63" s="35"/>
      <c r="P63" s="35">
        <f t="shared" si="8"/>
        <v>0</v>
      </c>
      <c r="Q63" s="194">
        <f t="shared" si="6"/>
        <v>3312.1</v>
      </c>
      <c r="R63" s="34"/>
    </row>
    <row r="64" spans="1:18" ht="70.7" customHeight="1" x14ac:dyDescent="0.25">
      <c r="A64" s="254"/>
      <c r="B64" s="283"/>
      <c r="C64" s="18" t="s">
        <v>321</v>
      </c>
      <c r="D64" s="18" t="s">
        <v>256</v>
      </c>
      <c r="E64" s="36">
        <v>144.52000000000001</v>
      </c>
      <c r="F64" s="141">
        <v>15</v>
      </c>
      <c r="G64" s="196">
        <f t="shared" si="12"/>
        <v>2167.8000000000002</v>
      </c>
      <c r="H64" s="192">
        <f t="shared" si="9"/>
        <v>722.6</v>
      </c>
      <c r="I64" s="35">
        <v>48.83</v>
      </c>
      <c r="J64" s="35">
        <f t="shared" si="7"/>
        <v>2939.23</v>
      </c>
      <c r="K64" s="35"/>
      <c r="L64" s="35"/>
      <c r="M64" s="193">
        <v>833.3</v>
      </c>
      <c r="N64" s="35">
        <f>G64*1%</f>
        <v>21.678000000000001</v>
      </c>
      <c r="O64" s="35"/>
      <c r="P64" s="35">
        <f t="shared" si="8"/>
        <v>854.97799999999995</v>
      </c>
      <c r="Q64" s="193">
        <f t="shared" si="6"/>
        <v>2084.252</v>
      </c>
      <c r="R64" s="34"/>
    </row>
    <row r="65" spans="1:18" ht="70.7" customHeight="1" x14ac:dyDescent="0.25">
      <c r="A65" s="254"/>
      <c r="B65" s="283"/>
      <c r="C65" s="18" t="s">
        <v>258</v>
      </c>
      <c r="D65" s="18" t="s">
        <v>259</v>
      </c>
      <c r="E65" s="36">
        <v>198.78</v>
      </c>
      <c r="F65" s="141">
        <v>15</v>
      </c>
      <c r="G65" s="196">
        <f t="shared" si="12"/>
        <v>2981.7</v>
      </c>
      <c r="H65" s="192">
        <f t="shared" si="9"/>
        <v>993.9</v>
      </c>
      <c r="I65" s="35"/>
      <c r="J65" s="35">
        <f t="shared" si="7"/>
        <v>3975.6</v>
      </c>
      <c r="K65" s="35">
        <v>57.66</v>
      </c>
      <c r="L65" s="35">
        <f>G65*1.1875%</f>
        <v>35.407687500000002</v>
      </c>
      <c r="M65" s="193"/>
      <c r="N65" s="35">
        <f>G65*1%</f>
        <v>29.817</v>
      </c>
      <c r="O65" s="35"/>
      <c r="P65" s="35">
        <f t="shared" si="8"/>
        <v>122.88468750000001</v>
      </c>
      <c r="Q65" s="193">
        <f t="shared" si="6"/>
        <v>3852.7153125</v>
      </c>
      <c r="R65" s="34"/>
    </row>
    <row r="66" spans="1:18" ht="70.7" customHeight="1" x14ac:dyDescent="0.25">
      <c r="A66" s="254"/>
      <c r="B66" s="283"/>
      <c r="C66" s="18" t="s">
        <v>262</v>
      </c>
      <c r="D66" s="18" t="s">
        <v>263</v>
      </c>
      <c r="E66" s="36">
        <v>168.71</v>
      </c>
      <c r="F66" s="141">
        <v>15</v>
      </c>
      <c r="G66" s="196">
        <f t="shared" si="12"/>
        <v>2530.65</v>
      </c>
      <c r="H66" s="192">
        <f t="shared" si="9"/>
        <v>843.55000000000007</v>
      </c>
      <c r="I66" s="35">
        <v>6.42</v>
      </c>
      <c r="J66" s="35">
        <f t="shared" si="7"/>
        <v>3380.6200000000003</v>
      </c>
      <c r="K66" s="35"/>
      <c r="L66" s="35"/>
      <c r="M66" s="193"/>
      <c r="N66" s="35"/>
      <c r="O66" s="35"/>
      <c r="P66" s="35">
        <f t="shared" si="8"/>
        <v>0</v>
      </c>
      <c r="Q66" s="193">
        <f t="shared" si="6"/>
        <v>3380.6200000000003</v>
      </c>
      <c r="R66" s="34"/>
    </row>
    <row r="67" spans="1:18" ht="70.7" customHeight="1" x14ac:dyDescent="0.25">
      <c r="A67" s="254"/>
      <c r="B67" s="285"/>
      <c r="C67" s="39" t="s">
        <v>129</v>
      </c>
      <c r="D67" s="39" t="s">
        <v>331</v>
      </c>
      <c r="E67" s="17">
        <v>88.36</v>
      </c>
      <c r="F67" s="142">
        <v>15</v>
      </c>
      <c r="G67" s="196">
        <f t="shared" si="12"/>
        <v>1325.4</v>
      </c>
      <c r="H67" s="192">
        <f t="shared" si="9"/>
        <v>441.8</v>
      </c>
      <c r="I67" s="35">
        <v>128.59</v>
      </c>
      <c r="J67" s="35">
        <f t="shared" si="7"/>
        <v>1895.79</v>
      </c>
      <c r="K67" s="35"/>
      <c r="L67" s="35"/>
      <c r="M67" s="193"/>
      <c r="N67" s="35"/>
      <c r="O67" s="35"/>
      <c r="P67" s="35">
        <f t="shared" si="8"/>
        <v>0</v>
      </c>
      <c r="Q67" s="194">
        <f t="shared" si="6"/>
        <v>1895.79</v>
      </c>
      <c r="R67" s="34"/>
    </row>
    <row r="68" spans="1:18" ht="70.7" customHeight="1" x14ac:dyDescent="0.25">
      <c r="A68" s="254"/>
      <c r="B68" s="266" t="s">
        <v>257</v>
      </c>
      <c r="C68" s="18" t="s">
        <v>255</v>
      </c>
      <c r="D68" s="18" t="s">
        <v>441</v>
      </c>
      <c r="E68" s="36">
        <v>162.06</v>
      </c>
      <c r="F68" s="141">
        <v>15</v>
      </c>
      <c r="G68" s="196">
        <f t="shared" si="12"/>
        <v>2430.9</v>
      </c>
      <c r="H68" s="192">
        <f t="shared" si="9"/>
        <v>810.3</v>
      </c>
      <c r="I68" s="35">
        <v>17.25</v>
      </c>
      <c r="J68" s="35">
        <f t="shared" si="7"/>
        <v>3258.45</v>
      </c>
      <c r="K68" s="35"/>
      <c r="L68" s="35"/>
      <c r="M68" s="193"/>
      <c r="N68" s="35"/>
      <c r="O68" s="35"/>
      <c r="P68" s="35">
        <f t="shared" si="8"/>
        <v>0</v>
      </c>
      <c r="Q68" s="194">
        <f t="shared" si="6"/>
        <v>3258.45</v>
      </c>
      <c r="R68" s="34"/>
    </row>
    <row r="69" spans="1:18" ht="70.7" customHeight="1" x14ac:dyDescent="0.25">
      <c r="A69" s="254"/>
      <c r="B69" s="267"/>
      <c r="C69" s="18" t="s">
        <v>321</v>
      </c>
      <c r="D69" s="18" t="s">
        <v>260</v>
      </c>
      <c r="E69" s="36">
        <v>144.52000000000001</v>
      </c>
      <c r="F69" s="141">
        <v>15</v>
      </c>
      <c r="G69" s="196">
        <f t="shared" si="12"/>
        <v>2167.8000000000002</v>
      </c>
      <c r="H69" s="192">
        <f t="shared" si="9"/>
        <v>722.6</v>
      </c>
      <c r="I69" s="35">
        <v>48.83</v>
      </c>
      <c r="J69" s="35">
        <f t="shared" si="7"/>
        <v>2939.23</v>
      </c>
      <c r="K69" s="35"/>
      <c r="L69" s="35"/>
      <c r="M69" s="193"/>
      <c r="N69" s="35"/>
      <c r="O69" s="35"/>
      <c r="P69" s="35">
        <f t="shared" si="8"/>
        <v>0</v>
      </c>
      <c r="Q69" s="193">
        <f t="shared" si="6"/>
        <v>2939.23</v>
      </c>
      <c r="R69" s="34"/>
    </row>
    <row r="70" spans="1:18" ht="70.7" customHeight="1" thickBot="1" x14ac:dyDescent="0.3">
      <c r="A70" s="255"/>
      <c r="B70" s="67" t="s">
        <v>257</v>
      </c>
      <c r="C70" s="18" t="s">
        <v>321</v>
      </c>
      <c r="D70" s="18" t="s">
        <v>261</v>
      </c>
      <c r="E70" s="36">
        <v>144.52000000000001</v>
      </c>
      <c r="F70" s="141">
        <v>15</v>
      </c>
      <c r="G70" s="196">
        <f t="shared" si="12"/>
        <v>2167.8000000000002</v>
      </c>
      <c r="H70" s="192">
        <f t="shared" si="9"/>
        <v>722.6</v>
      </c>
      <c r="I70" s="35">
        <v>48.83</v>
      </c>
      <c r="J70" s="35">
        <f t="shared" si="7"/>
        <v>2939.23</v>
      </c>
      <c r="K70" s="35"/>
      <c r="L70" s="35"/>
      <c r="M70" s="193"/>
      <c r="N70" s="35"/>
      <c r="O70" s="35"/>
      <c r="P70" s="35">
        <f t="shared" si="8"/>
        <v>0</v>
      </c>
      <c r="Q70" s="194">
        <f t="shared" si="6"/>
        <v>2939.23</v>
      </c>
      <c r="R70" s="34"/>
    </row>
    <row r="71" spans="1:18" ht="70.7" customHeight="1" x14ac:dyDescent="0.25">
      <c r="A71" s="256" t="s">
        <v>343</v>
      </c>
      <c r="B71" s="269" t="s">
        <v>74</v>
      </c>
      <c r="C71" s="18" t="s">
        <v>37</v>
      </c>
      <c r="D71" s="18" t="s">
        <v>75</v>
      </c>
      <c r="E71" s="36">
        <v>647.99</v>
      </c>
      <c r="F71" s="141">
        <v>15</v>
      </c>
      <c r="G71" s="197">
        <f t="shared" si="12"/>
        <v>9719.85</v>
      </c>
      <c r="H71" s="192">
        <f t="shared" si="9"/>
        <v>3239.95</v>
      </c>
      <c r="I71" s="35"/>
      <c r="J71" s="35">
        <f t="shared" si="7"/>
        <v>12959.8</v>
      </c>
      <c r="K71" s="35">
        <v>1437.99</v>
      </c>
      <c r="L71" s="35"/>
      <c r="M71" s="193"/>
      <c r="N71" s="35"/>
      <c r="O71" s="35">
        <f>G71*4%</f>
        <v>388.79400000000004</v>
      </c>
      <c r="P71" s="35">
        <f t="shared" si="8"/>
        <v>1826.7840000000001</v>
      </c>
      <c r="Q71" s="193">
        <f t="shared" si="6"/>
        <v>11133.016</v>
      </c>
      <c r="R71" s="34"/>
    </row>
    <row r="72" spans="1:18" ht="70.7" customHeight="1" x14ac:dyDescent="0.25">
      <c r="A72" s="257"/>
      <c r="B72" s="270"/>
      <c r="C72" s="18" t="s">
        <v>76</v>
      </c>
      <c r="D72" s="18" t="s">
        <v>77</v>
      </c>
      <c r="E72" s="36">
        <v>423.02</v>
      </c>
      <c r="F72" s="141">
        <v>15</v>
      </c>
      <c r="G72" s="197">
        <f t="shared" si="12"/>
        <v>6345.2999999999993</v>
      </c>
      <c r="H72" s="192">
        <f t="shared" si="9"/>
        <v>2115.1</v>
      </c>
      <c r="I72" s="35"/>
      <c r="J72" s="35">
        <f t="shared" si="7"/>
        <v>8460.4</v>
      </c>
      <c r="K72" s="35">
        <v>717.18</v>
      </c>
      <c r="L72" s="35"/>
      <c r="M72" s="193"/>
      <c r="N72" s="35"/>
      <c r="O72" s="35">
        <f>G72*3%</f>
        <v>190.35899999999998</v>
      </c>
      <c r="P72" s="35">
        <f t="shared" si="8"/>
        <v>907.53899999999999</v>
      </c>
      <c r="Q72" s="193">
        <f t="shared" si="6"/>
        <v>7552.8609999999999</v>
      </c>
      <c r="R72" s="34"/>
    </row>
    <row r="73" spans="1:18" ht="70.7" customHeight="1" x14ac:dyDescent="0.25">
      <c r="A73" s="257" t="s">
        <v>343</v>
      </c>
      <c r="B73" s="269" t="s">
        <v>74</v>
      </c>
      <c r="C73" s="18" t="s">
        <v>33</v>
      </c>
      <c r="D73" s="18" t="s">
        <v>81</v>
      </c>
      <c r="E73" s="36">
        <v>207.79</v>
      </c>
      <c r="F73" s="141">
        <v>15</v>
      </c>
      <c r="G73" s="197">
        <f t="shared" si="12"/>
        <v>3116.85</v>
      </c>
      <c r="H73" s="192">
        <f t="shared" si="9"/>
        <v>1038.95</v>
      </c>
      <c r="I73" s="35"/>
      <c r="J73" s="35">
        <f t="shared" si="7"/>
        <v>4155.8</v>
      </c>
      <c r="K73" s="35">
        <v>92.61</v>
      </c>
      <c r="L73" s="35">
        <f>G73*1.1875%</f>
        <v>37.012593750000001</v>
      </c>
      <c r="M73" s="193"/>
      <c r="N73" s="35">
        <f>G73*1%</f>
        <v>31.168499999999998</v>
      </c>
      <c r="O73" s="35"/>
      <c r="P73" s="35">
        <f t="shared" si="8"/>
        <v>160.79109374999999</v>
      </c>
      <c r="Q73" s="193">
        <f t="shared" si="6"/>
        <v>3995.0089062500001</v>
      </c>
      <c r="R73" s="34"/>
    </row>
    <row r="74" spans="1:18" ht="70.7" customHeight="1" x14ac:dyDescent="0.25">
      <c r="A74" s="257"/>
      <c r="B74" s="271"/>
      <c r="C74" s="18" t="s">
        <v>33</v>
      </c>
      <c r="D74" s="18" t="s">
        <v>579</v>
      </c>
      <c r="E74" s="36">
        <v>207.79</v>
      </c>
      <c r="F74" s="141">
        <v>0</v>
      </c>
      <c r="G74" s="197">
        <f t="shared" si="12"/>
        <v>0</v>
      </c>
      <c r="H74" s="192">
        <f>+E74*3.86</f>
        <v>802.06939999999997</v>
      </c>
      <c r="I74" s="35"/>
      <c r="J74" s="35">
        <f t="shared" si="7"/>
        <v>802.06939999999997</v>
      </c>
      <c r="K74" s="35"/>
      <c r="L74" s="35"/>
      <c r="M74" s="193"/>
      <c r="N74" s="35"/>
      <c r="O74" s="35"/>
      <c r="P74" s="35">
        <f t="shared" si="8"/>
        <v>0</v>
      </c>
      <c r="Q74" s="193">
        <f t="shared" si="6"/>
        <v>802.06939999999997</v>
      </c>
      <c r="R74" s="34"/>
    </row>
    <row r="75" spans="1:18" ht="70.7" customHeight="1" x14ac:dyDescent="0.25">
      <c r="A75" s="257"/>
      <c r="B75" s="271"/>
      <c r="C75" s="18" t="s">
        <v>92</v>
      </c>
      <c r="D75" s="18" t="s">
        <v>93</v>
      </c>
      <c r="E75" s="36">
        <v>320</v>
      </c>
      <c r="F75" s="141">
        <v>15</v>
      </c>
      <c r="G75" s="197">
        <f t="shared" si="12"/>
        <v>4800</v>
      </c>
      <c r="H75" s="192">
        <f t="shared" si="9"/>
        <v>1600</v>
      </c>
      <c r="I75" s="35"/>
      <c r="J75" s="35">
        <f t="shared" si="7"/>
        <v>6400</v>
      </c>
      <c r="K75" s="35">
        <v>428.58</v>
      </c>
      <c r="L75" s="35"/>
      <c r="M75" s="193"/>
      <c r="N75" s="35"/>
      <c r="O75" s="35">
        <f>G75*2%</f>
        <v>96</v>
      </c>
      <c r="P75" s="35">
        <f t="shared" si="8"/>
        <v>524.57999999999993</v>
      </c>
      <c r="Q75" s="193">
        <f t="shared" si="6"/>
        <v>5875.42</v>
      </c>
      <c r="R75" s="34"/>
    </row>
    <row r="76" spans="1:18" ht="70.7" customHeight="1" x14ac:dyDescent="0.25">
      <c r="A76" s="257"/>
      <c r="B76" s="271"/>
      <c r="C76" s="18" t="s">
        <v>483</v>
      </c>
      <c r="D76" s="18" t="s">
        <v>94</v>
      </c>
      <c r="E76" s="36">
        <v>320</v>
      </c>
      <c r="F76" s="141">
        <v>15</v>
      </c>
      <c r="G76" s="197">
        <f t="shared" si="12"/>
        <v>4800</v>
      </c>
      <c r="H76" s="192">
        <f t="shared" si="9"/>
        <v>1600</v>
      </c>
      <c r="I76" s="35"/>
      <c r="J76" s="35">
        <f t="shared" si="7"/>
        <v>6400</v>
      </c>
      <c r="K76" s="35">
        <v>428.56</v>
      </c>
      <c r="L76" s="35"/>
      <c r="M76" s="193"/>
      <c r="N76" s="35"/>
      <c r="O76" s="35">
        <f>G76*2%</f>
        <v>96</v>
      </c>
      <c r="P76" s="35">
        <f t="shared" si="8"/>
        <v>524.55999999999995</v>
      </c>
      <c r="Q76" s="193">
        <f t="shared" si="6"/>
        <v>5875.4400000000005</v>
      </c>
      <c r="R76" s="34"/>
    </row>
    <row r="77" spans="1:18" ht="70.7" customHeight="1" x14ac:dyDescent="0.25">
      <c r="A77" s="257"/>
      <c r="B77" s="271"/>
      <c r="C77" s="18" t="s">
        <v>78</v>
      </c>
      <c r="D77" s="18" t="s">
        <v>79</v>
      </c>
      <c r="E77" s="36">
        <v>299.95999999999998</v>
      </c>
      <c r="F77" s="141">
        <v>15</v>
      </c>
      <c r="G77" s="197">
        <f t="shared" si="12"/>
        <v>4499.3999999999996</v>
      </c>
      <c r="H77" s="192">
        <f t="shared" si="9"/>
        <v>1499.8</v>
      </c>
      <c r="I77" s="35"/>
      <c r="J77" s="35">
        <f t="shared" si="7"/>
        <v>5999.2</v>
      </c>
      <c r="K77" s="35">
        <v>380.49</v>
      </c>
      <c r="L77" s="35"/>
      <c r="M77" s="193"/>
      <c r="N77" s="35"/>
      <c r="O77" s="35"/>
      <c r="P77" s="35">
        <f t="shared" si="8"/>
        <v>380.49</v>
      </c>
      <c r="Q77" s="193">
        <f t="shared" si="6"/>
        <v>5618.71</v>
      </c>
      <c r="R77" s="34"/>
    </row>
    <row r="78" spans="1:18" ht="70.7" customHeight="1" x14ac:dyDescent="0.25">
      <c r="A78" s="257"/>
      <c r="B78" s="271"/>
      <c r="C78" s="18" t="s">
        <v>96</v>
      </c>
      <c r="D78" s="18" t="s">
        <v>578</v>
      </c>
      <c r="E78" s="36">
        <v>291.93</v>
      </c>
      <c r="F78" s="141">
        <v>15</v>
      </c>
      <c r="G78" s="197">
        <f t="shared" si="12"/>
        <v>4378.95</v>
      </c>
      <c r="H78" s="192">
        <f>+E78*4.58</f>
        <v>1337.0394000000001</v>
      </c>
      <c r="I78" s="35"/>
      <c r="J78" s="35">
        <f t="shared" si="7"/>
        <v>5715.9894000000004</v>
      </c>
      <c r="K78" s="35">
        <v>361.22</v>
      </c>
      <c r="L78" s="35">
        <f>G78*1.1875%</f>
        <v>52.000031249999999</v>
      </c>
      <c r="M78" s="193"/>
      <c r="N78" s="35">
        <f>G78*1%</f>
        <v>43.789499999999997</v>
      </c>
      <c r="O78" s="35"/>
      <c r="P78" s="35">
        <f t="shared" si="8"/>
        <v>457.00953125000001</v>
      </c>
      <c r="Q78" s="193">
        <f t="shared" si="6"/>
        <v>5258.9798687500006</v>
      </c>
      <c r="R78" s="34"/>
    </row>
    <row r="79" spans="1:18" ht="70.7" customHeight="1" x14ac:dyDescent="0.25">
      <c r="A79" s="257"/>
      <c r="B79" s="271"/>
      <c r="C79" s="18" t="s">
        <v>97</v>
      </c>
      <c r="D79" s="18" t="s">
        <v>95</v>
      </c>
      <c r="E79" s="36">
        <v>238.67</v>
      </c>
      <c r="F79" s="141">
        <v>15</v>
      </c>
      <c r="G79" s="197">
        <f t="shared" si="12"/>
        <v>3580.0499999999997</v>
      </c>
      <c r="H79" s="192">
        <f t="shared" si="9"/>
        <v>1193.3499999999999</v>
      </c>
      <c r="I79" s="35"/>
      <c r="J79" s="35">
        <f t="shared" si="7"/>
        <v>4773.3999999999996</v>
      </c>
      <c r="K79" s="35">
        <v>160.71</v>
      </c>
      <c r="L79" s="35"/>
      <c r="M79" s="193"/>
      <c r="N79" s="35"/>
      <c r="O79" s="35"/>
      <c r="P79" s="35">
        <f t="shared" si="8"/>
        <v>160.71</v>
      </c>
      <c r="Q79" s="193">
        <f t="shared" si="6"/>
        <v>4612.6899999999996</v>
      </c>
      <c r="R79" s="34"/>
    </row>
    <row r="80" spans="1:18" ht="70.7" customHeight="1" x14ac:dyDescent="0.25">
      <c r="A80" s="257"/>
      <c r="B80" s="271"/>
      <c r="C80" s="18" t="s">
        <v>373</v>
      </c>
      <c r="D80" s="18" t="s">
        <v>516</v>
      </c>
      <c r="E80" s="36">
        <v>215.63</v>
      </c>
      <c r="F80" s="141">
        <v>15</v>
      </c>
      <c r="G80" s="197">
        <f t="shared" si="12"/>
        <v>3234.45</v>
      </c>
      <c r="H80" s="192">
        <f>+E80*3.55</f>
        <v>765.48649999999998</v>
      </c>
      <c r="I80" s="70"/>
      <c r="J80" s="35">
        <f t="shared" si="7"/>
        <v>3999.9364999999998</v>
      </c>
      <c r="K80" s="70">
        <v>105.41</v>
      </c>
      <c r="L80" s="70"/>
      <c r="M80" s="198"/>
      <c r="N80" s="70"/>
      <c r="O80" s="70"/>
      <c r="P80" s="35">
        <f t="shared" si="8"/>
        <v>105.41</v>
      </c>
      <c r="Q80" s="199">
        <f t="shared" si="6"/>
        <v>3894.5264999999999</v>
      </c>
      <c r="R80" s="34"/>
    </row>
    <row r="81" spans="1:18" ht="70.7" customHeight="1" x14ac:dyDescent="0.25">
      <c r="A81" s="257"/>
      <c r="B81" s="271"/>
      <c r="C81" s="18" t="s">
        <v>373</v>
      </c>
      <c r="D81" s="18" t="s">
        <v>374</v>
      </c>
      <c r="E81" s="36">
        <v>215.63</v>
      </c>
      <c r="F81" s="141">
        <v>15</v>
      </c>
      <c r="G81" s="197">
        <f t="shared" si="12"/>
        <v>3234.45</v>
      </c>
      <c r="H81" s="192">
        <f t="shared" si="9"/>
        <v>1078.1500000000001</v>
      </c>
      <c r="I81" s="35"/>
      <c r="J81" s="35">
        <f t="shared" si="7"/>
        <v>4312.6000000000004</v>
      </c>
      <c r="K81" s="35">
        <v>105.41</v>
      </c>
      <c r="L81" s="35"/>
      <c r="M81" s="193"/>
      <c r="N81" s="35"/>
      <c r="O81" s="35"/>
      <c r="P81" s="35">
        <f t="shared" si="8"/>
        <v>105.41</v>
      </c>
      <c r="Q81" s="193">
        <f t="shared" si="6"/>
        <v>4207.1900000000005</v>
      </c>
      <c r="R81" s="34"/>
    </row>
    <row r="82" spans="1:18" ht="70.7" customHeight="1" x14ac:dyDescent="0.25">
      <c r="A82" s="257"/>
      <c r="B82" s="271"/>
      <c r="C82" s="18" t="s">
        <v>184</v>
      </c>
      <c r="D82" s="18" t="s">
        <v>185</v>
      </c>
      <c r="E82" s="36">
        <v>275.52</v>
      </c>
      <c r="F82" s="141">
        <v>15</v>
      </c>
      <c r="G82" s="197">
        <f t="shared" si="12"/>
        <v>4132.7999999999993</v>
      </c>
      <c r="H82" s="192">
        <f t="shared" si="9"/>
        <v>1377.6</v>
      </c>
      <c r="I82" s="35"/>
      <c r="J82" s="35">
        <f t="shared" si="7"/>
        <v>5510.4</v>
      </c>
      <c r="K82" s="35">
        <v>328.25</v>
      </c>
      <c r="L82" s="35"/>
      <c r="M82" s="193">
        <v>500</v>
      </c>
      <c r="N82" s="35"/>
      <c r="O82" s="35"/>
      <c r="P82" s="35">
        <f t="shared" si="8"/>
        <v>828.25</v>
      </c>
      <c r="Q82" s="193">
        <f t="shared" si="6"/>
        <v>4682.1499999999996</v>
      </c>
      <c r="R82" s="34"/>
    </row>
    <row r="83" spans="1:18" ht="70.7" customHeight="1" x14ac:dyDescent="0.25">
      <c r="A83" s="257"/>
      <c r="B83" s="271"/>
      <c r="C83" s="18" t="s">
        <v>87</v>
      </c>
      <c r="D83" s="18" t="s">
        <v>98</v>
      </c>
      <c r="E83" s="36">
        <v>248.48</v>
      </c>
      <c r="F83" s="141">
        <v>15</v>
      </c>
      <c r="G83" s="197">
        <f t="shared" si="12"/>
        <v>3727.2</v>
      </c>
      <c r="H83" s="192">
        <f t="shared" si="9"/>
        <v>1242.3999999999999</v>
      </c>
      <c r="I83" s="35"/>
      <c r="J83" s="35">
        <f t="shared" si="7"/>
        <v>4969.5999999999995</v>
      </c>
      <c r="K83" s="35">
        <v>284.12</v>
      </c>
      <c r="L83" s="35"/>
      <c r="M83" s="193"/>
      <c r="N83" s="35"/>
      <c r="O83" s="35"/>
      <c r="P83" s="35">
        <f t="shared" si="8"/>
        <v>284.12</v>
      </c>
      <c r="Q83" s="193">
        <f t="shared" si="6"/>
        <v>4685.4799999999996</v>
      </c>
      <c r="R83" s="34"/>
    </row>
    <row r="84" spans="1:18" ht="70.7" customHeight="1" x14ac:dyDescent="0.25">
      <c r="A84" s="257"/>
      <c r="B84" s="271"/>
      <c r="C84" s="18" t="s">
        <v>84</v>
      </c>
      <c r="D84" s="18" t="s">
        <v>90</v>
      </c>
      <c r="E84" s="36">
        <v>275.52</v>
      </c>
      <c r="F84" s="141">
        <v>15</v>
      </c>
      <c r="G84" s="197">
        <f>E84*F84</f>
        <v>4132.7999999999993</v>
      </c>
      <c r="H84" s="192">
        <f t="shared" si="9"/>
        <v>1377.6</v>
      </c>
      <c r="I84" s="35"/>
      <c r="J84" s="35">
        <f t="shared" si="7"/>
        <v>5510.4</v>
      </c>
      <c r="K84" s="35">
        <v>328.25</v>
      </c>
      <c r="L84" s="35"/>
      <c r="M84" s="193">
        <v>1000</v>
      </c>
      <c r="N84" s="35"/>
      <c r="O84" s="35"/>
      <c r="P84" s="35">
        <f t="shared" si="8"/>
        <v>1328.25</v>
      </c>
      <c r="Q84" s="193">
        <f t="shared" si="6"/>
        <v>4182.1499999999996</v>
      </c>
      <c r="R84" s="34"/>
    </row>
    <row r="85" spans="1:18" ht="70.7" customHeight="1" x14ac:dyDescent="0.25">
      <c r="A85" s="257"/>
      <c r="B85" s="271"/>
      <c r="C85" s="18" t="s">
        <v>88</v>
      </c>
      <c r="D85" s="18" t="s">
        <v>361</v>
      </c>
      <c r="E85" s="36">
        <v>198.78</v>
      </c>
      <c r="F85" s="141">
        <v>15</v>
      </c>
      <c r="G85" s="197">
        <f t="shared" si="12"/>
        <v>2981.7</v>
      </c>
      <c r="H85" s="192">
        <f t="shared" si="9"/>
        <v>993.9</v>
      </c>
      <c r="I85" s="35"/>
      <c r="J85" s="35">
        <f t="shared" si="7"/>
        <v>3975.6</v>
      </c>
      <c r="K85" s="35">
        <v>57.66</v>
      </c>
      <c r="L85" s="35"/>
      <c r="M85" s="193"/>
      <c r="N85" s="35">
        <f>G85*1%</f>
        <v>29.817</v>
      </c>
      <c r="O85" s="35"/>
      <c r="P85" s="35">
        <f t="shared" si="8"/>
        <v>87.477000000000004</v>
      </c>
      <c r="Q85" s="194">
        <f t="shared" si="6"/>
        <v>3888.123</v>
      </c>
      <c r="R85" s="34"/>
    </row>
    <row r="86" spans="1:18" ht="70.7" customHeight="1" x14ac:dyDescent="0.25">
      <c r="A86" s="257"/>
      <c r="B86" s="271"/>
      <c r="C86" s="18" t="s">
        <v>89</v>
      </c>
      <c r="D86" s="18" t="s">
        <v>83</v>
      </c>
      <c r="E86" s="36">
        <v>190.67</v>
      </c>
      <c r="F86" s="141">
        <v>15</v>
      </c>
      <c r="G86" s="197">
        <f t="shared" si="12"/>
        <v>2860.0499999999997</v>
      </c>
      <c r="H86" s="192">
        <f t="shared" si="9"/>
        <v>953.34999999999991</v>
      </c>
      <c r="I86" s="35"/>
      <c r="J86" s="35">
        <f t="shared" si="7"/>
        <v>3813.3999999999996</v>
      </c>
      <c r="K86" s="35">
        <v>44.42</v>
      </c>
      <c r="L86" s="35">
        <f>G86*1.1875%</f>
        <v>33.963093749999999</v>
      </c>
      <c r="M86" s="193"/>
      <c r="N86" s="35"/>
      <c r="O86" s="35"/>
      <c r="P86" s="35">
        <f t="shared" si="8"/>
        <v>78.38309375</v>
      </c>
      <c r="Q86" s="193">
        <f t="shared" ref="Q86:Q150" si="13">J86-P86</f>
        <v>3735.0169062499995</v>
      </c>
      <c r="R86" s="34"/>
    </row>
    <row r="87" spans="1:18" ht="70.7" customHeight="1" x14ac:dyDescent="0.25">
      <c r="A87" s="257"/>
      <c r="B87" s="271"/>
      <c r="C87" s="18" t="s">
        <v>89</v>
      </c>
      <c r="D87" s="18" t="s">
        <v>91</v>
      </c>
      <c r="E87" s="36">
        <v>190.67</v>
      </c>
      <c r="F87" s="141">
        <v>15</v>
      </c>
      <c r="G87" s="197">
        <f>E87*F87</f>
        <v>2860.0499999999997</v>
      </c>
      <c r="H87" s="192">
        <f t="shared" si="9"/>
        <v>953.34999999999991</v>
      </c>
      <c r="I87" s="35"/>
      <c r="J87" s="35">
        <f t="shared" ref="J87:J150" si="14">G87+I87+H87</f>
        <v>3813.3999999999996</v>
      </c>
      <c r="K87" s="35">
        <v>44.86</v>
      </c>
      <c r="L87" s="35">
        <f>G87*1.1875%</f>
        <v>33.963093749999999</v>
      </c>
      <c r="M87" s="193"/>
      <c r="N87" s="35"/>
      <c r="O87" s="35"/>
      <c r="P87" s="35">
        <f t="shared" ref="P87:P150" si="15">K87+L87+N87+O87+M87</f>
        <v>78.823093749999998</v>
      </c>
      <c r="Q87" s="193">
        <f t="shared" si="13"/>
        <v>3734.5769062499994</v>
      </c>
      <c r="R87" s="34"/>
    </row>
    <row r="88" spans="1:18" ht="70.7" customHeight="1" x14ac:dyDescent="0.25">
      <c r="A88" s="257"/>
      <c r="B88" s="271"/>
      <c r="C88" s="18" t="s">
        <v>99</v>
      </c>
      <c r="D88" s="18" t="s">
        <v>85</v>
      </c>
      <c r="E88" s="36">
        <v>173.96</v>
      </c>
      <c r="F88" s="141">
        <v>15</v>
      </c>
      <c r="G88" s="197">
        <f t="shared" si="12"/>
        <v>2609.4</v>
      </c>
      <c r="H88" s="192">
        <f t="shared" si="9"/>
        <v>869.80000000000007</v>
      </c>
      <c r="I88" s="35"/>
      <c r="J88" s="35">
        <f t="shared" si="14"/>
        <v>3479.2000000000003</v>
      </c>
      <c r="K88" s="35">
        <v>2.15</v>
      </c>
      <c r="L88" s="35">
        <f>G88*1.1875%</f>
        <v>30.986625</v>
      </c>
      <c r="M88" s="193"/>
      <c r="N88" s="35">
        <f>G88*1%</f>
        <v>26.094000000000001</v>
      </c>
      <c r="O88" s="35"/>
      <c r="P88" s="35">
        <f t="shared" si="15"/>
        <v>59.230625000000003</v>
      </c>
      <c r="Q88" s="193">
        <f t="shared" si="13"/>
        <v>3419.9693750000001</v>
      </c>
      <c r="R88" s="34"/>
    </row>
    <row r="89" spans="1:18" ht="70.7" customHeight="1" x14ac:dyDescent="0.25">
      <c r="A89" s="257"/>
      <c r="B89" s="271"/>
      <c r="C89" s="18" t="s">
        <v>99</v>
      </c>
      <c r="D89" s="18" t="s">
        <v>440</v>
      </c>
      <c r="E89" s="36">
        <v>173.96</v>
      </c>
      <c r="F89" s="141"/>
      <c r="G89" s="197">
        <f>E89*F89</f>
        <v>0</v>
      </c>
      <c r="H89" s="192"/>
      <c r="I89" s="35"/>
      <c r="J89" s="35">
        <f t="shared" si="14"/>
        <v>0</v>
      </c>
      <c r="K89" s="35"/>
      <c r="L89" s="35"/>
      <c r="M89" s="193"/>
      <c r="N89" s="35"/>
      <c r="O89" s="35"/>
      <c r="P89" s="35">
        <f t="shared" si="15"/>
        <v>0</v>
      </c>
      <c r="Q89" s="193">
        <f t="shared" si="13"/>
        <v>0</v>
      </c>
      <c r="R89" s="34"/>
    </row>
    <row r="90" spans="1:18" ht="70.7" customHeight="1" x14ac:dyDescent="0.25">
      <c r="A90" s="257"/>
      <c r="B90" s="271"/>
      <c r="C90" s="18" t="s">
        <v>99</v>
      </c>
      <c r="D90" s="18" t="s">
        <v>440</v>
      </c>
      <c r="E90" s="36">
        <v>173.96</v>
      </c>
      <c r="F90" s="141"/>
      <c r="G90" s="197">
        <f>E90*F90</f>
        <v>0</v>
      </c>
      <c r="H90" s="192"/>
      <c r="I90" s="35"/>
      <c r="J90" s="35">
        <f t="shared" si="14"/>
        <v>0</v>
      </c>
      <c r="K90" s="35"/>
      <c r="L90" s="35"/>
      <c r="M90" s="193"/>
      <c r="N90" s="35"/>
      <c r="O90" s="35"/>
      <c r="P90" s="35">
        <f t="shared" si="15"/>
        <v>0</v>
      </c>
      <c r="Q90" s="193">
        <f t="shared" si="13"/>
        <v>0</v>
      </c>
      <c r="R90" s="34"/>
    </row>
    <row r="91" spans="1:18" ht="70.7" customHeight="1" x14ac:dyDescent="0.25">
      <c r="A91" s="251" t="s">
        <v>343</v>
      </c>
      <c r="B91" s="93" t="s">
        <v>74</v>
      </c>
      <c r="C91" s="18" t="s">
        <v>413</v>
      </c>
      <c r="D91" s="18" t="s">
        <v>86</v>
      </c>
      <c r="E91" s="36">
        <v>167.48</v>
      </c>
      <c r="F91" s="141">
        <v>15</v>
      </c>
      <c r="G91" s="197">
        <f t="shared" si="12"/>
        <v>2512.1999999999998</v>
      </c>
      <c r="H91" s="192">
        <f t="shared" ref="H91:H153" si="16">+E91*5</f>
        <v>837.4</v>
      </c>
      <c r="I91" s="35">
        <v>8.42</v>
      </c>
      <c r="J91" s="35">
        <f t="shared" si="14"/>
        <v>3358.02</v>
      </c>
      <c r="K91" s="35"/>
      <c r="L91" s="35"/>
      <c r="M91" s="193"/>
      <c r="N91" s="35">
        <f>G91*1%</f>
        <v>25.122</v>
      </c>
      <c r="O91" s="35"/>
      <c r="P91" s="35">
        <f t="shared" si="15"/>
        <v>25.122</v>
      </c>
      <c r="Q91" s="194">
        <f t="shared" si="13"/>
        <v>3332.8980000000001</v>
      </c>
      <c r="R91" s="34"/>
    </row>
    <row r="92" spans="1:18" ht="70.7" customHeight="1" x14ac:dyDescent="0.25">
      <c r="A92" s="251"/>
      <c r="B92" s="275" t="s">
        <v>100</v>
      </c>
      <c r="C92" s="17" t="s">
        <v>102</v>
      </c>
      <c r="D92" s="39" t="s">
        <v>101</v>
      </c>
      <c r="E92" s="40">
        <v>246.67</v>
      </c>
      <c r="F92" s="143">
        <v>15</v>
      </c>
      <c r="G92" s="197">
        <f t="shared" si="12"/>
        <v>3700.0499999999997</v>
      </c>
      <c r="H92" s="192">
        <f t="shared" si="16"/>
        <v>1233.3499999999999</v>
      </c>
      <c r="I92" s="35"/>
      <c r="J92" s="35">
        <f t="shared" si="14"/>
        <v>4933.3999999999996</v>
      </c>
      <c r="K92" s="35">
        <v>281.16000000000003</v>
      </c>
      <c r="L92" s="35"/>
      <c r="M92" s="193"/>
      <c r="N92" s="35"/>
      <c r="O92" s="35"/>
      <c r="P92" s="35">
        <f t="shared" si="15"/>
        <v>281.16000000000003</v>
      </c>
      <c r="Q92" s="193">
        <f t="shared" si="13"/>
        <v>4652.24</v>
      </c>
      <c r="R92" s="34"/>
    </row>
    <row r="93" spans="1:18" ht="70.7" customHeight="1" x14ac:dyDescent="0.25">
      <c r="A93" s="251"/>
      <c r="B93" s="275"/>
      <c r="C93" s="17" t="s">
        <v>105</v>
      </c>
      <c r="D93" s="18" t="s">
        <v>103</v>
      </c>
      <c r="E93" s="36">
        <v>239.8</v>
      </c>
      <c r="F93" s="141">
        <v>15</v>
      </c>
      <c r="G93" s="197">
        <f t="shared" ref="G93:G100" si="17">E93*F93</f>
        <v>3597</v>
      </c>
      <c r="H93" s="192">
        <f t="shared" si="16"/>
        <v>1199</v>
      </c>
      <c r="I93" s="35"/>
      <c r="J93" s="35">
        <f t="shared" si="14"/>
        <v>4796</v>
      </c>
      <c r="K93" s="35">
        <v>162.55000000000001</v>
      </c>
      <c r="L93" s="35">
        <f>G93*1.1875%</f>
        <v>42.714375000000004</v>
      </c>
      <c r="M93" s="193"/>
      <c r="N93" s="35">
        <f>G93*1%</f>
        <v>35.97</v>
      </c>
      <c r="O93" s="35"/>
      <c r="P93" s="35">
        <f t="shared" si="15"/>
        <v>241.23437500000003</v>
      </c>
      <c r="Q93" s="193">
        <f t="shared" si="13"/>
        <v>4554.765625</v>
      </c>
      <c r="R93" s="34"/>
    </row>
    <row r="94" spans="1:18" ht="70.7" customHeight="1" x14ac:dyDescent="0.25">
      <c r="A94" s="251"/>
      <c r="B94" s="275"/>
      <c r="C94" s="17" t="s">
        <v>105</v>
      </c>
      <c r="D94" s="18" t="s">
        <v>104</v>
      </c>
      <c r="E94" s="36">
        <v>239.8</v>
      </c>
      <c r="F94" s="141">
        <v>15</v>
      </c>
      <c r="G94" s="197">
        <f t="shared" si="17"/>
        <v>3597</v>
      </c>
      <c r="H94" s="192">
        <f t="shared" si="16"/>
        <v>1199</v>
      </c>
      <c r="I94" s="35"/>
      <c r="J94" s="35">
        <f t="shared" si="14"/>
        <v>4796</v>
      </c>
      <c r="K94" s="35">
        <v>162.55000000000001</v>
      </c>
      <c r="L94" s="35">
        <f>G94*1.1875%</f>
        <v>42.714375000000004</v>
      </c>
      <c r="M94" s="193"/>
      <c r="N94" s="35">
        <f>G94*1%</f>
        <v>35.97</v>
      </c>
      <c r="O94" s="35"/>
      <c r="P94" s="35">
        <f t="shared" si="15"/>
        <v>241.23437500000003</v>
      </c>
      <c r="Q94" s="193">
        <f t="shared" si="13"/>
        <v>4554.765625</v>
      </c>
      <c r="R94" s="34"/>
    </row>
    <row r="95" spans="1:18" ht="70.7" customHeight="1" x14ac:dyDescent="0.25">
      <c r="A95" s="251"/>
      <c r="B95" s="275"/>
      <c r="C95" s="17" t="s">
        <v>106</v>
      </c>
      <c r="D95" s="18" t="s">
        <v>107</v>
      </c>
      <c r="E95" s="36">
        <v>260.05</v>
      </c>
      <c r="F95" s="141">
        <v>15</v>
      </c>
      <c r="G95" s="197">
        <f t="shared" si="17"/>
        <v>3900.75</v>
      </c>
      <c r="H95" s="192">
        <f t="shared" si="16"/>
        <v>1300.25</v>
      </c>
      <c r="I95" s="35"/>
      <c r="J95" s="35">
        <f t="shared" si="14"/>
        <v>5201</v>
      </c>
      <c r="K95" s="35">
        <v>303</v>
      </c>
      <c r="L95" s="35">
        <f>G95*1.1875%</f>
        <v>46.321406250000003</v>
      </c>
      <c r="M95" s="193"/>
      <c r="N95" s="35">
        <f>G95*1%</f>
        <v>39.0075</v>
      </c>
      <c r="O95" s="35"/>
      <c r="P95" s="35">
        <f t="shared" si="15"/>
        <v>388.32890624999999</v>
      </c>
      <c r="Q95" s="193">
        <f t="shared" si="13"/>
        <v>4812.6710937500002</v>
      </c>
      <c r="R95" s="34"/>
    </row>
    <row r="96" spans="1:18" ht="70.7" customHeight="1" x14ac:dyDescent="0.25">
      <c r="A96" s="251"/>
      <c r="B96" s="275"/>
      <c r="C96" s="17" t="s">
        <v>108</v>
      </c>
      <c r="D96" s="18" t="s">
        <v>109</v>
      </c>
      <c r="E96" s="36">
        <v>201.7</v>
      </c>
      <c r="F96" s="141">
        <v>15</v>
      </c>
      <c r="G96" s="197">
        <f t="shared" si="17"/>
        <v>3025.5</v>
      </c>
      <c r="H96" s="192">
        <f t="shared" si="16"/>
        <v>1008.5</v>
      </c>
      <c r="I96" s="35"/>
      <c r="J96" s="35">
        <f t="shared" si="14"/>
        <v>4034</v>
      </c>
      <c r="K96" s="35">
        <v>62.42</v>
      </c>
      <c r="L96" s="35">
        <f>G96*1.1875%</f>
        <v>35.927812500000002</v>
      </c>
      <c r="M96" s="193"/>
      <c r="N96" s="35">
        <f>G96*1%</f>
        <v>30.254999999999999</v>
      </c>
      <c r="O96" s="35"/>
      <c r="P96" s="35">
        <f t="shared" si="15"/>
        <v>128.6028125</v>
      </c>
      <c r="Q96" s="193">
        <f t="shared" si="13"/>
        <v>3905.3971875000002</v>
      </c>
      <c r="R96" s="34"/>
    </row>
    <row r="97" spans="1:18" ht="70.7" customHeight="1" x14ac:dyDescent="0.25">
      <c r="A97" s="251"/>
      <c r="B97" s="275"/>
      <c r="C97" s="17" t="s">
        <v>110</v>
      </c>
      <c r="D97" s="18" t="s">
        <v>111</v>
      </c>
      <c r="E97" s="17">
        <v>173.96</v>
      </c>
      <c r="F97" s="142">
        <v>15</v>
      </c>
      <c r="G97" s="197">
        <f t="shared" si="17"/>
        <v>2609.4</v>
      </c>
      <c r="H97" s="192">
        <f t="shared" si="16"/>
        <v>869.80000000000007</v>
      </c>
      <c r="I97" s="35"/>
      <c r="J97" s="35">
        <f t="shared" si="14"/>
        <v>3479.2000000000003</v>
      </c>
      <c r="K97" s="35">
        <v>2.27</v>
      </c>
      <c r="L97" s="35"/>
      <c r="M97" s="193"/>
      <c r="N97" s="35"/>
      <c r="O97" s="35"/>
      <c r="P97" s="35">
        <f t="shared" si="15"/>
        <v>2.27</v>
      </c>
      <c r="Q97" s="193">
        <f t="shared" si="13"/>
        <v>3476.9300000000003</v>
      </c>
      <c r="R97" s="34"/>
    </row>
    <row r="98" spans="1:18" ht="70.7" customHeight="1" x14ac:dyDescent="0.25">
      <c r="A98" s="251"/>
      <c r="B98" s="244" t="s">
        <v>112</v>
      </c>
      <c r="C98" s="17" t="s">
        <v>37</v>
      </c>
      <c r="D98" s="18" t="s">
        <v>115</v>
      </c>
      <c r="E98" s="36">
        <v>400</v>
      </c>
      <c r="F98" s="141">
        <v>15</v>
      </c>
      <c r="G98" s="197">
        <f t="shared" si="17"/>
        <v>6000</v>
      </c>
      <c r="H98" s="192">
        <f t="shared" si="16"/>
        <v>2000</v>
      </c>
      <c r="I98" s="35"/>
      <c r="J98" s="35">
        <f>G98+I98+H98</f>
        <v>8000</v>
      </c>
      <c r="K98" s="35">
        <v>643.42999999999995</v>
      </c>
      <c r="L98" s="35"/>
      <c r="M98" s="193"/>
      <c r="N98" s="35"/>
      <c r="O98" s="35"/>
      <c r="P98" s="35">
        <f>K98+L98+N98+O98+M98</f>
        <v>643.42999999999995</v>
      </c>
      <c r="Q98" s="194">
        <f>J98-P98</f>
        <v>7356.57</v>
      </c>
      <c r="R98" s="34"/>
    </row>
    <row r="99" spans="1:18" ht="70.7" customHeight="1" x14ac:dyDescent="0.25">
      <c r="A99" s="251"/>
      <c r="B99" s="268"/>
      <c r="C99" s="17" t="s">
        <v>114</v>
      </c>
      <c r="D99" s="18" t="s">
        <v>558</v>
      </c>
      <c r="E99" s="36">
        <v>338.63</v>
      </c>
      <c r="F99" s="141">
        <v>15</v>
      </c>
      <c r="G99" s="197">
        <f t="shared" si="17"/>
        <v>5079.45</v>
      </c>
      <c r="H99" s="192">
        <f>+E99*1.88</f>
        <v>636.62439999999992</v>
      </c>
      <c r="I99" s="35"/>
      <c r="J99" s="35">
        <f>G99+I99+H99</f>
        <v>5716.0743999999995</v>
      </c>
      <c r="K99" s="35">
        <v>475.83</v>
      </c>
      <c r="L99" s="35"/>
      <c r="M99" s="193"/>
      <c r="N99" s="35"/>
      <c r="O99" s="35"/>
      <c r="P99" s="35">
        <f>K99+L99+N99+O99+M99</f>
        <v>475.83</v>
      </c>
      <c r="Q99" s="194">
        <f>J99-P99</f>
        <v>5240.2443999999996</v>
      </c>
      <c r="R99" s="34"/>
    </row>
    <row r="100" spans="1:18" ht="70.7" customHeight="1" x14ac:dyDescent="0.25">
      <c r="A100" s="251"/>
      <c r="B100" s="268"/>
      <c r="C100" s="17" t="s">
        <v>118</v>
      </c>
      <c r="D100" s="91" t="s">
        <v>539</v>
      </c>
      <c r="E100" s="92">
        <v>238.67</v>
      </c>
      <c r="F100" s="144">
        <v>15</v>
      </c>
      <c r="G100" s="197">
        <f t="shared" si="17"/>
        <v>3580.0499999999997</v>
      </c>
      <c r="H100" s="192">
        <f>+E100*2.71</f>
        <v>646.79570000000001</v>
      </c>
      <c r="I100" s="73"/>
      <c r="J100" s="70">
        <f>G100+I100+H100</f>
        <v>4226.8456999999999</v>
      </c>
      <c r="K100" s="70">
        <v>160.71</v>
      </c>
      <c r="L100" s="73"/>
      <c r="M100" s="200"/>
      <c r="N100" s="73"/>
      <c r="O100" s="73"/>
      <c r="P100" s="70">
        <f>K100+L100+N100+O100+M100</f>
        <v>160.71</v>
      </c>
      <c r="Q100" s="201">
        <f>J100-P100</f>
        <v>4066.1356999999998</v>
      </c>
      <c r="R100" s="34"/>
    </row>
    <row r="101" spans="1:18" ht="70.7" customHeight="1" x14ac:dyDescent="0.25">
      <c r="A101" s="251"/>
      <c r="B101" s="268"/>
      <c r="C101" s="17" t="s">
        <v>113</v>
      </c>
      <c r="D101" s="18" t="s">
        <v>570</v>
      </c>
      <c r="E101" s="17">
        <v>343.24</v>
      </c>
      <c r="F101" s="142">
        <v>15</v>
      </c>
      <c r="G101" s="197">
        <f t="shared" ref="G101:G149" si="18">E101*F101</f>
        <v>5148.6000000000004</v>
      </c>
      <c r="H101" s="192">
        <f>+E101*4.57</f>
        <v>1568.6068000000002</v>
      </c>
      <c r="I101" s="35"/>
      <c r="J101" s="35">
        <f t="shared" si="14"/>
        <v>6717.2068000000008</v>
      </c>
      <c r="K101" s="35">
        <v>488.22</v>
      </c>
      <c r="L101" s="35">
        <f>G101*1.1875%</f>
        <v>61.139625000000002</v>
      </c>
      <c r="M101" s="193"/>
      <c r="N101" s="35">
        <f>G101*1%</f>
        <v>51.486000000000004</v>
      </c>
      <c r="O101" s="35"/>
      <c r="P101" s="35">
        <f t="shared" si="15"/>
        <v>600.84562500000004</v>
      </c>
      <c r="Q101" s="193">
        <f t="shared" si="13"/>
        <v>6116.3611750000009</v>
      </c>
      <c r="R101" s="34"/>
    </row>
    <row r="102" spans="1:18" ht="70.7" customHeight="1" x14ac:dyDescent="0.25">
      <c r="A102" s="251"/>
      <c r="B102" s="268"/>
      <c r="C102" s="17" t="s">
        <v>116</v>
      </c>
      <c r="D102" s="18" t="s">
        <v>487</v>
      </c>
      <c r="E102" s="17">
        <v>207.79</v>
      </c>
      <c r="F102" s="142">
        <v>15</v>
      </c>
      <c r="G102" s="197">
        <f t="shared" si="18"/>
        <v>3116.85</v>
      </c>
      <c r="H102" s="192">
        <f>+E102*4.14</f>
        <v>860.25059999999985</v>
      </c>
      <c r="I102" s="35"/>
      <c r="J102" s="35">
        <f t="shared" si="14"/>
        <v>3977.1005999999998</v>
      </c>
      <c r="K102" s="35">
        <v>92.61</v>
      </c>
      <c r="L102" s="35"/>
      <c r="M102" s="193"/>
      <c r="N102" s="35"/>
      <c r="O102" s="35"/>
      <c r="P102" s="35">
        <f t="shared" si="15"/>
        <v>92.61</v>
      </c>
      <c r="Q102" s="194">
        <f t="shared" si="13"/>
        <v>3884.4905999999996</v>
      </c>
      <c r="R102" s="34"/>
    </row>
    <row r="103" spans="1:18" ht="70.7" customHeight="1" x14ac:dyDescent="0.25">
      <c r="A103" s="251"/>
      <c r="B103" s="245"/>
      <c r="C103" s="17" t="s">
        <v>117</v>
      </c>
      <c r="D103" s="18" t="s">
        <v>437</v>
      </c>
      <c r="E103" s="17">
        <v>207.79</v>
      </c>
      <c r="F103" s="142">
        <v>15</v>
      </c>
      <c r="G103" s="197">
        <f t="shared" si="18"/>
        <v>3116.85</v>
      </c>
      <c r="H103" s="192">
        <f t="shared" si="16"/>
        <v>1038.95</v>
      </c>
      <c r="I103" s="35"/>
      <c r="J103" s="35">
        <f t="shared" si="14"/>
        <v>4155.8</v>
      </c>
      <c r="K103" s="35">
        <v>92.61</v>
      </c>
      <c r="L103" s="35"/>
      <c r="M103" s="193"/>
      <c r="N103" s="35"/>
      <c r="O103" s="35"/>
      <c r="P103" s="35">
        <f t="shared" si="15"/>
        <v>92.61</v>
      </c>
      <c r="Q103" s="193">
        <f t="shared" si="13"/>
        <v>4063.19</v>
      </c>
      <c r="R103" s="34"/>
    </row>
    <row r="104" spans="1:18" ht="70.7" customHeight="1" x14ac:dyDescent="0.25">
      <c r="A104" s="251"/>
      <c r="B104" s="244" t="s">
        <v>112</v>
      </c>
      <c r="C104" s="17" t="s">
        <v>175</v>
      </c>
      <c r="D104" s="18" t="s">
        <v>174</v>
      </c>
      <c r="E104" s="17">
        <v>217.91</v>
      </c>
      <c r="F104" s="142">
        <v>15</v>
      </c>
      <c r="G104" s="197">
        <f t="shared" si="18"/>
        <v>3268.65</v>
      </c>
      <c r="H104" s="192">
        <f t="shared" si="16"/>
        <v>1089.55</v>
      </c>
      <c r="I104" s="35"/>
      <c r="J104" s="35">
        <f t="shared" si="14"/>
        <v>4358.2</v>
      </c>
      <c r="K104" s="35">
        <v>109.13</v>
      </c>
      <c r="L104" s="35"/>
      <c r="M104" s="193"/>
      <c r="N104" s="35">
        <f>G104*1%</f>
        <v>32.686500000000002</v>
      </c>
      <c r="O104" s="35"/>
      <c r="P104" s="35">
        <f t="shared" si="15"/>
        <v>141.81649999999999</v>
      </c>
      <c r="Q104" s="193">
        <f t="shared" si="13"/>
        <v>4216.3834999999999</v>
      </c>
      <c r="R104" s="34"/>
    </row>
    <row r="105" spans="1:18" ht="70.7" customHeight="1" x14ac:dyDescent="0.25">
      <c r="A105" s="251"/>
      <c r="B105" s="268"/>
      <c r="C105" s="276" t="s">
        <v>176</v>
      </c>
      <c r="D105" s="18" t="s">
        <v>380</v>
      </c>
      <c r="E105" s="17">
        <v>214.05</v>
      </c>
      <c r="F105" s="142">
        <v>15</v>
      </c>
      <c r="G105" s="197">
        <f t="shared" si="18"/>
        <v>3210.75</v>
      </c>
      <c r="H105" s="192">
        <f t="shared" si="16"/>
        <v>1070.25</v>
      </c>
      <c r="I105" s="35"/>
      <c r="J105" s="35">
        <f t="shared" si="14"/>
        <v>4281</v>
      </c>
      <c r="K105" s="35">
        <v>102.83</v>
      </c>
      <c r="L105" s="35">
        <f>G105*1.1875%</f>
        <v>38.127656250000001</v>
      </c>
      <c r="M105" s="193"/>
      <c r="N105" s="35">
        <f>G105*1%</f>
        <v>32.107500000000002</v>
      </c>
      <c r="O105" s="35"/>
      <c r="P105" s="35">
        <f t="shared" si="15"/>
        <v>173.06515625000003</v>
      </c>
      <c r="Q105" s="193">
        <f t="shared" si="13"/>
        <v>4107.9348437500003</v>
      </c>
      <c r="R105" s="34"/>
    </row>
    <row r="106" spans="1:18" ht="70.7" customHeight="1" x14ac:dyDescent="0.25">
      <c r="A106" s="251"/>
      <c r="B106" s="245"/>
      <c r="C106" s="276"/>
      <c r="D106" s="18" t="s">
        <v>177</v>
      </c>
      <c r="E106" s="17">
        <v>214.05</v>
      </c>
      <c r="F106" s="142">
        <v>15</v>
      </c>
      <c r="G106" s="197">
        <f t="shared" si="18"/>
        <v>3210.75</v>
      </c>
      <c r="H106" s="192">
        <f t="shared" si="16"/>
        <v>1070.25</v>
      </c>
      <c r="I106" s="35"/>
      <c r="J106" s="35">
        <f t="shared" si="14"/>
        <v>4281</v>
      </c>
      <c r="K106" s="35">
        <v>102.83</v>
      </c>
      <c r="L106" s="35">
        <f>G106*1.1875%</f>
        <v>38.127656250000001</v>
      </c>
      <c r="M106" s="193"/>
      <c r="N106" s="35">
        <f>G106*1%</f>
        <v>32.107500000000002</v>
      </c>
      <c r="O106" s="35"/>
      <c r="P106" s="35">
        <f t="shared" si="15"/>
        <v>173.06515625000003</v>
      </c>
      <c r="Q106" s="193">
        <f t="shared" si="13"/>
        <v>4107.9348437500003</v>
      </c>
      <c r="R106" s="34"/>
    </row>
    <row r="107" spans="1:18" ht="70.7" customHeight="1" x14ac:dyDescent="0.25">
      <c r="A107" s="251"/>
      <c r="B107" s="244" t="s">
        <v>119</v>
      </c>
      <c r="C107" s="17" t="s">
        <v>120</v>
      </c>
      <c r="D107" s="18" t="s">
        <v>430</v>
      </c>
      <c r="E107" s="17">
        <v>423.02</v>
      </c>
      <c r="F107" s="142">
        <v>15</v>
      </c>
      <c r="G107" s="197">
        <f t="shared" si="18"/>
        <v>6345.2999999999993</v>
      </c>
      <c r="H107" s="192">
        <f t="shared" si="16"/>
        <v>2115.1</v>
      </c>
      <c r="I107" s="35"/>
      <c r="J107" s="35">
        <f t="shared" si="14"/>
        <v>8460.4</v>
      </c>
      <c r="K107" s="35">
        <v>717.18</v>
      </c>
      <c r="L107" s="35"/>
      <c r="M107" s="193"/>
      <c r="N107" s="35"/>
      <c r="O107" s="35">
        <f>G107*3%</f>
        <v>190.35899999999998</v>
      </c>
      <c r="P107" s="35">
        <f t="shared" si="15"/>
        <v>907.53899999999999</v>
      </c>
      <c r="Q107" s="193">
        <f t="shared" si="13"/>
        <v>7552.8609999999999</v>
      </c>
      <c r="R107" s="34"/>
    </row>
    <row r="108" spans="1:18" ht="70.7" customHeight="1" x14ac:dyDescent="0.25">
      <c r="A108" s="251"/>
      <c r="B108" s="245"/>
      <c r="C108" s="17" t="s">
        <v>344</v>
      </c>
      <c r="D108" s="18" t="s">
        <v>145</v>
      </c>
      <c r="E108" s="17">
        <v>320</v>
      </c>
      <c r="F108" s="142">
        <v>15</v>
      </c>
      <c r="G108" s="197">
        <f t="shared" si="18"/>
        <v>4800</v>
      </c>
      <c r="H108" s="192">
        <f t="shared" si="16"/>
        <v>1600</v>
      </c>
      <c r="I108" s="35"/>
      <c r="J108" s="35">
        <f t="shared" si="14"/>
        <v>6400</v>
      </c>
      <c r="K108" s="35">
        <v>428.58</v>
      </c>
      <c r="L108" s="35"/>
      <c r="M108" s="193"/>
      <c r="N108" s="35"/>
      <c r="O108" s="35">
        <f>G108*2%</f>
        <v>96</v>
      </c>
      <c r="P108" s="35">
        <f t="shared" si="15"/>
        <v>524.57999999999993</v>
      </c>
      <c r="Q108" s="193">
        <f t="shared" si="13"/>
        <v>5875.42</v>
      </c>
      <c r="R108" s="34"/>
    </row>
    <row r="109" spans="1:18" ht="70.7" customHeight="1" x14ac:dyDescent="0.25">
      <c r="A109" s="251" t="s">
        <v>343</v>
      </c>
      <c r="B109" s="244" t="s">
        <v>119</v>
      </c>
      <c r="C109" s="17" t="s">
        <v>144</v>
      </c>
      <c r="D109" s="18" t="s">
        <v>146</v>
      </c>
      <c r="E109" s="17">
        <v>207.79</v>
      </c>
      <c r="F109" s="142">
        <v>15</v>
      </c>
      <c r="G109" s="197">
        <f t="shared" si="18"/>
        <v>3116.85</v>
      </c>
      <c r="H109" s="192">
        <f t="shared" si="16"/>
        <v>1038.95</v>
      </c>
      <c r="I109" s="35"/>
      <c r="J109" s="35">
        <f t="shared" si="14"/>
        <v>4155.8</v>
      </c>
      <c r="K109" s="35">
        <v>92.61</v>
      </c>
      <c r="L109" s="35"/>
      <c r="M109" s="193"/>
      <c r="N109" s="35"/>
      <c r="O109" s="35"/>
      <c r="P109" s="35">
        <f t="shared" si="15"/>
        <v>92.61</v>
      </c>
      <c r="Q109" s="193">
        <f t="shared" si="13"/>
        <v>4063.19</v>
      </c>
      <c r="R109" s="34"/>
    </row>
    <row r="110" spans="1:18" ht="70.7" customHeight="1" x14ac:dyDescent="0.25">
      <c r="A110" s="251"/>
      <c r="B110" s="245"/>
      <c r="C110" s="17" t="s">
        <v>482</v>
      </c>
      <c r="D110" s="18" t="s">
        <v>341</v>
      </c>
      <c r="E110" s="17">
        <v>238.67</v>
      </c>
      <c r="F110" s="142">
        <v>15</v>
      </c>
      <c r="G110" s="197">
        <f t="shared" si="18"/>
        <v>3580.0499999999997</v>
      </c>
      <c r="H110" s="192">
        <f t="shared" si="16"/>
        <v>1193.3499999999999</v>
      </c>
      <c r="I110" s="35"/>
      <c r="J110" s="35">
        <f t="shared" si="14"/>
        <v>4773.3999999999996</v>
      </c>
      <c r="K110" s="35">
        <v>160.71</v>
      </c>
      <c r="L110" s="35">
        <f>G110*1.1875%</f>
        <v>42.513093749999996</v>
      </c>
      <c r="M110" s="193"/>
      <c r="N110" s="35"/>
      <c r="O110" s="35"/>
      <c r="P110" s="35">
        <f t="shared" si="15"/>
        <v>203.22309375</v>
      </c>
      <c r="Q110" s="194">
        <f t="shared" si="13"/>
        <v>4570.1769062499998</v>
      </c>
      <c r="R110" s="34"/>
    </row>
    <row r="111" spans="1:18" ht="70.7" customHeight="1" x14ac:dyDescent="0.25">
      <c r="A111" s="251"/>
      <c r="B111" s="275" t="s">
        <v>121</v>
      </c>
      <c r="C111" s="17" t="s">
        <v>37</v>
      </c>
      <c r="D111" s="18" t="s">
        <v>122</v>
      </c>
      <c r="E111" s="17">
        <v>358.8</v>
      </c>
      <c r="F111" s="142">
        <v>15</v>
      </c>
      <c r="G111" s="197">
        <f t="shared" si="18"/>
        <v>5382</v>
      </c>
      <c r="H111" s="192">
        <f t="shared" si="16"/>
        <v>1794</v>
      </c>
      <c r="I111" s="35"/>
      <c r="J111" s="35">
        <f t="shared" si="14"/>
        <v>7176</v>
      </c>
      <c r="K111" s="35">
        <v>530.04</v>
      </c>
      <c r="L111" s="35"/>
      <c r="M111" s="193"/>
      <c r="N111" s="35"/>
      <c r="O111" s="35">
        <f>G111*3%</f>
        <v>161.46</v>
      </c>
      <c r="P111" s="35">
        <f t="shared" si="15"/>
        <v>691.5</v>
      </c>
      <c r="Q111" s="193">
        <f t="shared" si="13"/>
        <v>6484.5</v>
      </c>
      <c r="R111" s="34"/>
    </row>
    <row r="112" spans="1:18" ht="70.7" customHeight="1" x14ac:dyDescent="0.25">
      <c r="A112" s="251"/>
      <c r="B112" s="275"/>
      <c r="C112" s="17" t="s">
        <v>124</v>
      </c>
      <c r="D112" s="18" t="s">
        <v>411</v>
      </c>
      <c r="E112" s="17">
        <v>207.79</v>
      </c>
      <c r="F112" s="142">
        <v>15</v>
      </c>
      <c r="G112" s="197">
        <f>E112*F112</f>
        <v>3116.85</v>
      </c>
      <c r="H112" s="192">
        <f t="shared" si="16"/>
        <v>1038.95</v>
      </c>
      <c r="I112" s="35"/>
      <c r="J112" s="35">
        <f t="shared" si="14"/>
        <v>4155.8</v>
      </c>
      <c r="K112" s="35">
        <v>92.61</v>
      </c>
      <c r="L112" s="35"/>
      <c r="M112" s="193"/>
      <c r="N112" s="35"/>
      <c r="O112" s="35"/>
      <c r="P112" s="35">
        <f t="shared" si="15"/>
        <v>92.61</v>
      </c>
      <c r="Q112" s="193">
        <f t="shared" si="13"/>
        <v>4063.19</v>
      </c>
      <c r="R112" s="34"/>
    </row>
    <row r="113" spans="1:18" ht="70.7" customHeight="1" x14ac:dyDescent="0.25">
      <c r="A113" s="251"/>
      <c r="B113" s="275"/>
      <c r="C113" s="17" t="s">
        <v>124</v>
      </c>
      <c r="D113" s="18" t="s">
        <v>123</v>
      </c>
      <c r="E113" s="17">
        <v>207.79</v>
      </c>
      <c r="F113" s="142">
        <v>15</v>
      </c>
      <c r="G113" s="197">
        <f t="shared" si="18"/>
        <v>3116.85</v>
      </c>
      <c r="H113" s="192">
        <f t="shared" si="16"/>
        <v>1038.95</v>
      </c>
      <c r="I113" s="35"/>
      <c r="J113" s="35">
        <f t="shared" si="14"/>
        <v>4155.8</v>
      </c>
      <c r="K113" s="35">
        <v>92.61</v>
      </c>
      <c r="L113" s="35"/>
      <c r="M113" s="193"/>
      <c r="N113" s="35"/>
      <c r="O113" s="35"/>
      <c r="P113" s="35">
        <f t="shared" si="15"/>
        <v>92.61</v>
      </c>
      <c r="Q113" s="193">
        <f t="shared" si="13"/>
        <v>4063.19</v>
      </c>
      <c r="R113" s="34"/>
    </row>
    <row r="114" spans="1:18" ht="70.7" customHeight="1" x14ac:dyDescent="0.25">
      <c r="A114" s="251"/>
      <c r="B114" s="275"/>
      <c r="C114" s="17" t="s">
        <v>481</v>
      </c>
      <c r="D114" s="18" t="s">
        <v>128</v>
      </c>
      <c r="E114" s="17">
        <v>207.79</v>
      </c>
      <c r="F114" s="142">
        <v>15</v>
      </c>
      <c r="G114" s="197">
        <f>E114*F114</f>
        <v>3116.85</v>
      </c>
      <c r="H114" s="192">
        <f t="shared" si="16"/>
        <v>1038.95</v>
      </c>
      <c r="I114" s="35"/>
      <c r="J114" s="35">
        <f t="shared" si="14"/>
        <v>4155.8</v>
      </c>
      <c r="K114" s="35">
        <v>92.61</v>
      </c>
      <c r="L114" s="35">
        <f>G114*1.1875%</f>
        <v>37.012593750000001</v>
      </c>
      <c r="M114" s="193"/>
      <c r="N114" s="35">
        <f>G114*1%</f>
        <v>31.168499999999998</v>
      </c>
      <c r="O114" s="35"/>
      <c r="P114" s="35">
        <f t="shared" si="15"/>
        <v>160.79109374999999</v>
      </c>
      <c r="Q114" s="193">
        <f t="shared" si="13"/>
        <v>3995.0089062500001</v>
      </c>
      <c r="R114" s="34"/>
    </row>
    <row r="115" spans="1:18" ht="70.7" customHeight="1" x14ac:dyDescent="0.25">
      <c r="A115" s="251"/>
      <c r="B115" s="275"/>
      <c r="C115" s="17" t="s">
        <v>480</v>
      </c>
      <c r="D115" s="18" t="s">
        <v>125</v>
      </c>
      <c r="E115" s="17">
        <v>207.79</v>
      </c>
      <c r="F115" s="142">
        <v>15</v>
      </c>
      <c r="G115" s="197">
        <f>E115*F115</f>
        <v>3116.85</v>
      </c>
      <c r="H115" s="192">
        <f t="shared" si="16"/>
        <v>1038.95</v>
      </c>
      <c r="I115" s="35"/>
      <c r="J115" s="35">
        <f t="shared" si="14"/>
        <v>4155.8</v>
      </c>
      <c r="K115" s="35">
        <v>92.61</v>
      </c>
      <c r="L115" s="35"/>
      <c r="M115" s="193"/>
      <c r="N115" s="35"/>
      <c r="O115" s="35"/>
      <c r="P115" s="35">
        <f t="shared" si="15"/>
        <v>92.61</v>
      </c>
      <c r="Q115" s="193">
        <f t="shared" si="13"/>
        <v>4063.19</v>
      </c>
      <c r="R115" s="34"/>
    </row>
    <row r="116" spans="1:18" ht="70.7" customHeight="1" x14ac:dyDescent="0.25">
      <c r="A116" s="251"/>
      <c r="B116" s="275"/>
      <c r="C116" s="17" t="s">
        <v>126</v>
      </c>
      <c r="D116" s="18" t="s">
        <v>127</v>
      </c>
      <c r="E116" s="17">
        <v>183.86</v>
      </c>
      <c r="F116" s="142">
        <v>15</v>
      </c>
      <c r="G116" s="197">
        <f t="shared" si="18"/>
        <v>2757.9</v>
      </c>
      <c r="H116" s="192">
        <f t="shared" si="16"/>
        <v>919.30000000000007</v>
      </c>
      <c r="I116" s="35"/>
      <c r="J116" s="35">
        <f t="shared" si="14"/>
        <v>3677.2000000000003</v>
      </c>
      <c r="K116" s="35">
        <v>33.31</v>
      </c>
      <c r="L116" s="35"/>
      <c r="M116" s="193"/>
      <c r="N116" s="35"/>
      <c r="O116" s="35"/>
      <c r="P116" s="35">
        <f t="shared" si="15"/>
        <v>33.31</v>
      </c>
      <c r="Q116" s="193">
        <f t="shared" si="13"/>
        <v>3643.8900000000003</v>
      </c>
      <c r="R116" s="34"/>
    </row>
    <row r="117" spans="1:18" ht="70.7" customHeight="1" x14ac:dyDescent="0.25">
      <c r="A117" s="251"/>
      <c r="B117" s="275"/>
      <c r="C117" s="17" t="s">
        <v>129</v>
      </c>
      <c r="D117" s="18" t="s">
        <v>130</v>
      </c>
      <c r="E117" s="17">
        <v>180.72</v>
      </c>
      <c r="F117" s="142">
        <v>15</v>
      </c>
      <c r="G117" s="197">
        <f t="shared" si="18"/>
        <v>2710.8</v>
      </c>
      <c r="H117" s="192">
        <f t="shared" si="16"/>
        <v>903.6</v>
      </c>
      <c r="I117" s="35"/>
      <c r="J117" s="35">
        <f t="shared" si="14"/>
        <v>3614.4</v>
      </c>
      <c r="K117" s="35">
        <v>28.18</v>
      </c>
      <c r="L117" s="35"/>
      <c r="M117" s="193"/>
      <c r="N117" s="35">
        <f>G117*1%</f>
        <v>27.108000000000004</v>
      </c>
      <c r="O117" s="35"/>
      <c r="P117" s="35">
        <f t="shared" si="15"/>
        <v>55.288000000000004</v>
      </c>
      <c r="Q117" s="193">
        <f t="shared" si="13"/>
        <v>3559.1120000000001</v>
      </c>
      <c r="R117" s="34"/>
    </row>
    <row r="118" spans="1:18" ht="70.7" customHeight="1" x14ac:dyDescent="0.25">
      <c r="A118" s="251"/>
      <c r="B118" s="275"/>
      <c r="C118" s="17" t="s">
        <v>131</v>
      </c>
      <c r="D118" s="18" t="s">
        <v>132</v>
      </c>
      <c r="E118" s="19">
        <v>172.91</v>
      </c>
      <c r="F118" s="142">
        <v>15</v>
      </c>
      <c r="G118" s="197">
        <f t="shared" si="18"/>
        <v>2593.65</v>
      </c>
      <c r="H118" s="192">
        <f t="shared" si="16"/>
        <v>864.55</v>
      </c>
      <c r="I118" s="35"/>
      <c r="J118" s="35">
        <f t="shared" si="14"/>
        <v>3458.2</v>
      </c>
      <c r="K118" s="35">
        <v>0.44</v>
      </c>
      <c r="L118" s="35">
        <f>+G118*1.1875%</f>
        <v>30.799593750000003</v>
      </c>
      <c r="M118" s="193"/>
      <c r="N118" s="35"/>
      <c r="O118" s="35"/>
      <c r="P118" s="35">
        <f t="shared" si="15"/>
        <v>31.239593750000004</v>
      </c>
      <c r="Q118" s="193">
        <f t="shared" si="13"/>
        <v>3426.9604062499998</v>
      </c>
      <c r="R118" s="34"/>
    </row>
    <row r="119" spans="1:18" ht="70.7" customHeight="1" x14ac:dyDescent="0.25">
      <c r="A119" s="251"/>
      <c r="B119" s="244" t="s">
        <v>133</v>
      </c>
      <c r="C119" s="17" t="s">
        <v>134</v>
      </c>
      <c r="D119" s="18" t="s">
        <v>143</v>
      </c>
      <c r="E119" s="17">
        <v>299.95999999999998</v>
      </c>
      <c r="F119" s="142">
        <v>15</v>
      </c>
      <c r="G119" s="197">
        <f t="shared" si="18"/>
        <v>4499.3999999999996</v>
      </c>
      <c r="H119" s="192">
        <f t="shared" si="16"/>
        <v>1499.8</v>
      </c>
      <c r="I119" s="35"/>
      <c r="J119" s="35">
        <f t="shared" si="14"/>
        <v>5999.2</v>
      </c>
      <c r="K119" s="35">
        <v>380.49</v>
      </c>
      <c r="L119" s="35"/>
      <c r="M119" s="193"/>
      <c r="N119" s="35"/>
      <c r="O119" s="35"/>
      <c r="P119" s="35">
        <f t="shared" si="15"/>
        <v>380.49</v>
      </c>
      <c r="Q119" s="193">
        <f t="shared" si="13"/>
        <v>5618.71</v>
      </c>
      <c r="R119" s="34"/>
    </row>
    <row r="120" spans="1:18" ht="70.7" customHeight="1" x14ac:dyDescent="0.25">
      <c r="A120" s="251"/>
      <c r="B120" s="245"/>
      <c r="C120" s="17" t="s">
        <v>124</v>
      </c>
      <c r="D120" s="18" t="s">
        <v>135</v>
      </c>
      <c r="E120" s="17">
        <v>207.79</v>
      </c>
      <c r="F120" s="142">
        <v>15</v>
      </c>
      <c r="G120" s="197">
        <f>E120*F120</f>
        <v>3116.85</v>
      </c>
      <c r="H120" s="192">
        <f t="shared" si="16"/>
        <v>1038.95</v>
      </c>
      <c r="I120" s="35"/>
      <c r="J120" s="35">
        <f t="shared" si="14"/>
        <v>4155.8</v>
      </c>
      <c r="K120" s="35">
        <v>92.61</v>
      </c>
      <c r="L120" s="35"/>
      <c r="M120" s="193"/>
      <c r="N120" s="35"/>
      <c r="O120" s="35"/>
      <c r="P120" s="35">
        <f t="shared" si="15"/>
        <v>92.61</v>
      </c>
      <c r="Q120" s="193">
        <f t="shared" si="13"/>
        <v>4063.19</v>
      </c>
      <c r="R120" s="34"/>
    </row>
    <row r="121" spans="1:18" ht="70.7" customHeight="1" x14ac:dyDescent="0.25">
      <c r="A121" s="251"/>
      <c r="B121" s="244" t="s">
        <v>133</v>
      </c>
      <c r="C121" s="17" t="s">
        <v>137</v>
      </c>
      <c r="D121" s="18" t="s">
        <v>136</v>
      </c>
      <c r="E121" s="17">
        <v>242.98</v>
      </c>
      <c r="F121" s="142">
        <v>15</v>
      </c>
      <c r="G121" s="197">
        <f t="shared" si="18"/>
        <v>3644.7</v>
      </c>
      <c r="H121" s="192">
        <f t="shared" si="16"/>
        <v>1214.8999999999999</v>
      </c>
      <c r="I121" s="35"/>
      <c r="J121" s="35">
        <f t="shared" si="14"/>
        <v>4859.5999999999995</v>
      </c>
      <c r="K121" s="35">
        <v>275.14</v>
      </c>
      <c r="L121" s="35"/>
      <c r="M121" s="193"/>
      <c r="N121" s="35"/>
      <c r="O121" s="35"/>
      <c r="P121" s="35">
        <f t="shared" si="15"/>
        <v>275.14</v>
      </c>
      <c r="Q121" s="193">
        <f t="shared" si="13"/>
        <v>4584.4599999999991</v>
      </c>
      <c r="R121" s="34"/>
    </row>
    <row r="122" spans="1:18" ht="70.7" customHeight="1" x14ac:dyDescent="0.25">
      <c r="A122" s="251"/>
      <c r="B122" s="268"/>
      <c r="C122" s="17" t="s">
        <v>139</v>
      </c>
      <c r="D122" s="18" t="s">
        <v>138</v>
      </c>
      <c r="E122" s="17">
        <v>175.86</v>
      </c>
      <c r="F122" s="142">
        <v>15</v>
      </c>
      <c r="G122" s="197">
        <f t="shared" si="18"/>
        <v>2637.9</v>
      </c>
      <c r="H122" s="192">
        <f t="shared" si="16"/>
        <v>879.30000000000007</v>
      </c>
      <c r="I122" s="35"/>
      <c r="J122" s="35">
        <f t="shared" si="14"/>
        <v>3517.2000000000003</v>
      </c>
      <c r="K122" s="35">
        <v>20.25</v>
      </c>
      <c r="L122" s="35">
        <f>G122*1.1875%</f>
        <v>31.325062500000001</v>
      </c>
      <c r="M122" s="193"/>
      <c r="N122" s="35">
        <f>G122*1%</f>
        <v>26.379000000000001</v>
      </c>
      <c r="O122" s="35"/>
      <c r="P122" s="35">
        <f t="shared" si="15"/>
        <v>77.954062500000006</v>
      </c>
      <c r="Q122" s="193">
        <f t="shared" si="13"/>
        <v>3439.2459375000003</v>
      </c>
      <c r="R122" s="34"/>
    </row>
    <row r="123" spans="1:18" ht="70.7" customHeight="1" x14ac:dyDescent="0.25">
      <c r="A123" s="251"/>
      <c r="B123" s="245"/>
      <c r="C123" s="17" t="s">
        <v>140</v>
      </c>
      <c r="D123" s="18" t="s">
        <v>511</v>
      </c>
      <c r="E123" s="17">
        <v>131.66999999999999</v>
      </c>
      <c r="F123" s="142">
        <v>15</v>
      </c>
      <c r="G123" s="197">
        <f>E123*F123</f>
        <v>1975.0499999999997</v>
      </c>
      <c r="H123" s="192">
        <f t="shared" si="16"/>
        <v>658.34999999999991</v>
      </c>
      <c r="I123" s="35">
        <v>75.02</v>
      </c>
      <c r="J123" s="35">
        <f t="shared" si="14"/>
        <v>2708.4199999999996</v>
      </c>
      <c r="K123" s="35"/>
      <c r="L123" s="35">
        <f>G123*1.1875%</f>
        <v>23.453718749999997</v>
      </c>
      <c r="M123" s="193"/>
      <c r="N123" s="35">
        <f>G123*1%</f>
        <v>19.750499999999999</v>
      </c>
      <c r="O123" s="35"/>
      <c r="P123" s="35">
        <f t="shared" si="15"/>
        <v>43.204218749999995</v>
      </c>
      <c r="Q123" s="193">
        <f t="shared" si="13"/>
        <v>2665.2157812499995</v>
      </c>
      <c r="R123" s="34"/>
    </row>
    <row r="124" spans="1:18" ht="70.7" customHeight="1" x14ac:dyDescent="0.25">
      <c r="A124" s="251"/>
      <c r="B124" s="244" t="s">
        <v>141</v>
      </c>
      <c r="C124" s="17" t="s">
        <v>37</v>
      </c>
      <c r="D124" s="18" t="s">
        <v>142</v>
      </c>
      <c r="E124" s="17">
        <v>400</v>
      </c>
      <c r="F124" s="142">
        <v>15</v>
      </c>
      <c r="G124" s="197">
        <f t="shared" si="18"/>
        <v>6000</v>
      </c>
      <c r="H124" s="192">
        <f t="shared" si="16"/>
        <v>2000</v>
      </c>
      <c r="I124" s="35"/>
      <c r="J124" s="35">
        <f t="shared" si="14"/>
        <v>8000</v>
      </c>
      <c r="K124" s="35">
        <v>643.42999999999995</v>
      </c>
      <c r="L124" s="35"/>
      <c r="M124" s="193"/>
      <c r="N124" s="35"/>
      <c r="O124" s="35">
        <f>G124*3%</f>
        <v>180</v>
      </c>
      <c r="P124" s="35">
        <f t="shared" si="15"/>
        <v>823.43</v>
      </c>
      <c r="Q124" s="193">
        <f t="shared" si="13"/>
        <v>7176.57</v>
      </c>
      <c r="R124" s="34"/>
    </row>
    <row r="125" spans="1:18" ht="70.7" customHeight="1" x14ac:dyDescent="0.25">
      <c r="A125" s="251"/>
      <c r="B125" s="268"/>
      <c r="C125" s="17" t="s">
        <v>150</v>
      </c>
      <c r="D125" s="18" t="s">
        <v>148</v>
      </c>
      <c r="E125" s="17">
        <v>284.97000000000003</v>
      </c>
      <c r="F125" s="142">
        <v>15</v>
      </c>
      <c r="G125" s="197">
        <f t="shared" si="18"/>
        <v>4274.55</v>
      </c>
      <c r="H125" s="192">
        <f t="shared" si="16"/>
        <v>1424.8500000000001</v>
      </c>
      <c r="I125" s="35"/>
      <c r="J125" s="35">
        <f t="shared" si="14"/>
        <v>5699.4000000000005</v>
      </c>
      <c r="K125" s="35">
        <v>344.51</v>
      </c>
      <c r="L125" s="35">
        <f>G125*1.1875%</f>
        <v>50.760281250000006</v>
      </c>
      <c r="M125" s="193"/>
      <c r="N125" s="35">
        <f>G125*1%</f>
        <v>42.7455</v>
      </c>
      <c r="O125" s="35"/>
      <c r="P125" s="35">
        <f t="shared" si="15"/>
        <v>438.01578124999997</v>
      </c>
      <c r="Q125" s="194">
        <f t="shared" si="13"/>
        <v>5261.3842187500004</v>
      </c>
      <c r="R125" s="34"/>
    </row>
    <row r="126" spans="1:18" ht="70.7" customHeight="1" x14ac:dyDescent="0.25">
      <c r="A126" s="251"/>
      <c r="B126" s="245"/>
      <c r="C126" s="17" t="s">
        <v>150</v>
      </c>
      <c r="D126" s="18" t="s">
        <v>149</v>
      </c>
      <c r="E126" s="17">
        <v>284.97000000000003</v>
      </c>
      <c r="F126" s="142">
        <v>15</v>
      </c>
      <c r="G126" s="197">
        <f>E126*F126</f>
        <v>4274.55</v>
      </c>
      <c r="H126" s="192">
        <f t="shared" si="16"/>
        <v>1424.8500000000001</v>
      </c>
      <c r="I126" s="35"/>
      <c r="J126" s="35">
        <f t="shared" si="14"/>
        <v>5699.4000000000005</v>
      </c>
      <c r="K126" s="35">
        <v>344.51</v>
      </c>
      <c r="L126" s="35">
        <f>G126*1.1875%</f>
        <v>50.760281250000006</v>
      </c>
      <c r="M126" s="193"/>
      <c r="N126" s="35">
        <f>G126*1%</f>
        <v>42.7455</v>
      </c>
      <c r="O126" s="35"/>
      <c r="P126" s="35">
        <f t="shared" si="15"/>
        <v>438.01578124999997</v>
      </c>
      <c r="Q126" s="193">
        <f t="shared" si="13"/>
        <v>5261.3842187500004</v>
      </c>
      <c r="R126" s="34"/>
    </row>
    <row r="127" spans="1:18" ht="70.7" customHeight="1" x14ac:dyDescent="0.25">
      <c r="A127" s="251" t="s">
        <v>343</v>
      </c>
      <c r="B127" s="244" t="s">
        <v>141</v>
      </c>
      <c r="C127" s="17" t="s">
        <v>151</v>
      </c>
      <c r="D127" s="18" t="s">
        <v>189</v>
      </c>
      <c r="E127" s="17">
        <v>271.06</v>
      </c>
      <c r="F127" s="142">
        <v>15</v>
      </c>
      <c r="G127" s="197">
        <f>E127*F127</f>
        <v>4065.9</v>
      </c>
      <c r="H127" s="192">
        <f t="shared" si="16"/>
        <v>1355.3</v>
      </c>
      <c r="I127" s="35"/>
      <c r="J127" s="35">
        <f t="shared" si="14"/>
        <v>5421.2</v>
      </c>
      <c r="K127" s="35">
        <v>320.97000000000003</v>
      </c>
      <c r="L127" s="35">
        <f>G127*1.1875%</f>
        <v>48.282562500000004</v>
      </c>
      <c r="M127" s="193"/>
      <c r="N127" s="35">
        <f>G127*1%</f>
        <v>40.658999999999999</v>
      </c>
      <c r="O127" s="35"/>
      <c r="P127" s="35">
        <f t="shared" si="15"/>
        <v>409.9115625</v>
      </c>
      <c r="Q127" s="193">
        <f t="shared" si="13"/>
        <v>5011.2884374999994</v>
      </c>
      <c r="R127" s="34"/>
    </row>
    <row r="128" spans="1:18" ht="70.7" customHeight="1" x14ac:dyDescent="0.25">
      <c r="A128" s="251"/>
      <c r="B128" s="245"/>
      <c r="C128" s="17" t="s">
        <v>188</v>
      </c>
      <c r="D128" s="18" t="s">
        <v>147</v>
      </c>
      <c r="E128" s="17">
        <v>225.48</v>
      </c>
      <c r="F128" s="142">
        <v>15</v>
      </c>
      <c r="G128" s="197">
        <f t="shared" si="18"/>
        <v>3382.2</v>
      </c>
      <c r="H128" s="192">
        <f t="shared" si="16"/>
        <v>1127.3999999999999</v>
      </c>
      <c r="I128" s="35"/>
      <c r="J128" s="35">
        <f t="shared" si="14"/>
        <v>4509.5999999999995</v>
      </c>
      <c r="K128" s="35">
        <v>121.48</v>
      </c>
      <c r="L128" s="35">
        <f>G128*1.1875%</f>
        <v>40.163624999999996</v>
      </c>
      <c r="M128" s="193"/>
      <c r="N128" s="35">
        <v>33.82</v>
      </c>
      <c r="O128" s="35"/>
      <c r="P128" s="35">
        <f t="shared" si="15"/>
        <v>195.46362499999998</v>
      </c>
      <c r="Q128" s="194">
        <f t="shared" si="13"/>
        <v>4314.1363749999991</v>
      </c>
      <c r="R128" s="34"/>
    </row>
    <row r="129" spans="1:18" ht="70.7" customHeight="1" x14ac:dyDescent="0.25">
      <c r="A129" s="251"/>
      <c r="B129" s="275" t="s">
        <v>219</v>
      </c>
      <c r="C129" s="17" t="s">
        <v>37</v>
      </c>
      <c r="D129" s="18" t="s">
        <v>152</v>
      </c>
      <c r="E129" s="17">
        <v>400</v>
      </c>
      <c r="F129" s="142">
        <v>15</v>
      </c>
      <c r="G129" s="197">
        <f t="shared" si="18"/>
        <v>6000</v>
      </c>
      <c r="H129" s="192">
        <f t="shared" si="16"/>
        <v>2000</v>
      </c>
      <c r="I129" s="35"/>
      <c r="J129" s="35">
        <f t="shared" si="14"/>
        <v>8000</v>
      </c>
      <c r="K129" s="35">
        <v>643.42999999999995</v>
      </c>
      <c r="L129" s="35"/>
      <c r="M129" s="193"/>
      <c r="N129" s="35"/>
      <c r="O129" s="35">
        <f>G129*3%</f>
        <v>180</v>
      </c>
      <c r="P129" s="35">
        <f t="shared" si="15"/>
        <v>823.43</v>
      </c>
      <c r="Q129" s="193">
        <f t="shared" si="13"/>
        <v>7176.57</v>
      </c>
      <c r="R129" s="34"/>
    </row>
    <row r="130" spans="1:18" ht="70.7" customHeight="1" x14ac:dyDescent="0.25">
      <c r="A130" s="251"/>
      <c r="B130" s="275"/>
      <c r="C130" s="17" t="s">
        <v>348</v>
      </c>
      <c r="D130" s="18" t="s">
        <v>577</v>
      </c>
      <c r="E130" s="17">
        <v>238.67</v>
      </c>
      <c r="F130" s="142">
        <v>15</v>
      </c>
      <c r="G130" s="197">
        <f t="shared" si="18"/>
        <v>3580.0499999999997</v>
      </c>
      <c r="H130" s="192">
        <f>+E130*4.3</f>
        <v>1026.2809999999999</v>
      </c>
      <c r="I130" s="35"/>
      <c r="J130" s="35">
        <f t="shared" si="14"/>
        <v>4606.3310000000001</v>
      </c>
      <c r="K130" s="35">
        <v>160.71</v>
      </c>
      <c r="L130" s="35"/>
      <c r="M130" s="193"/>
      <c r="N130" s="35"/>
      <c r="O130" s="35"/>
      <c r="P130" s="35">
        <f t="shared" si="15"/>
        <v>160.71</v>
      </c>
      <c r="Q130" s="193">
        <f t="shared" si="13"/>
        <v>4445.6210000000001</v>
      </c>
      <c r="R130" s="34"/>
    </row>
    <row r="131" spans="1:18" ht="70.7" customHeight="1" x14ac:dyDescent="0.25">
      <c r="A131" s="251"/>
      <c r="B131" s="275" t="s">
        <v>407</v>
      </c>
      <c r="C131" s="18" t="s">
        <v>292</v>
      </c>
      <c r="D131" s="18"/>
      <c r="E131" s="18">
        <v>546.12</v>
      </c>
      <c r="F131" s="143"/>
      <c r="G131" s="197">
        <f t="shared" si="18"/>
        <v>0</v>
      </c>
      <c r="H131" s="192"/>
      <c r="I131" s="35"/>
      <c r="J131" s="35">
        <f t="shared" si="14"/>
        <v>0</v>
      </c>
      <c r="K131" s="35"/>
      <c r="L131" s="35"/>
      <c r="M131" s="193"/>
      <c r="N131" s="35"/>
      <c r="O131" s="35"/>
      <c r="P131" s="35">
        <f t="shared" si="15"/>
        <v>0</v>
      </c>
      <c r="Q131" s="193">
        <f t="shared" si="13"/>
        <v>0</v>
      </c>
      <c r="R131" s="34"/>
    </row>
    <row r="132" spans="1:18" ht="70.7" customHeight="1" x14ac:dyDescent="0.25">
      <c r="A132" s="251"/>
      <c r="B132" s="275"/>
      <c r="C132" s="18" t="s">
        <v>293</v>
      </c>
      <c r="D132" s="18" t="s">
        <v>294</v>
      </c>
      <c r="E132" s="18">
        <v>225.89</v>
      </c>
      <c r="F132" s="143">
        <v>15</v>
      </c>
      <c r="G132" s="197">
        <f t="shared" si="18"/>
        <v>3388.35</v>
      </c>
      <c r="H132" s="192">
        <f t="shared" si="16"/>
        <v>1129.4499999999998</v>
      </c>
      <c r="I132" s="35"/>
      <c r="J132" s="35">
        <f t="shared" si="14"/>
        <v>4517.7999999999993</v>
      </c>
      <c r="K132" s="35">
        <v>122.15</v>
      </c>
      <c r="L132" s="35">
        <v>149.46</v>
      </c>
      <c r="M132" s="193"/>
      <c r="N132" s="35">
        <f>G132*1%</f>
        <v>33.883499999999998</v>
      </c>
      <c r="O132" s="35"/>
      <c r="P132" s="35">
        <f t="shared" si="15"/>
        <v>305.49350000000004</v>
      </c>
      <c r="Q132" s="193">
        <f t="shared" si="13"/>
        <v>4212.3064999999988</v>
      </c>
      <c r="R132" s="34"/>
    </row>
    <row r="133" spans="1:18" ht="70.7" customHeight="1" x14ac:dyDescent="0.25">
      <c r="A133" s="251"/>
      <c r="B133" s="275"/>
      <c r="C133" s="18" t="s">
        <v>467</v>
      </c>
      <c r="D133" s="18" t="s">
        <v>450</v>
      </c>
      <c r="E133" s="18">
        <v>253.09</v>
      </c>
      <c r="F133" s="143">
        <v>15</v>
      </c>
      <c r="G133" s="197">
        <f t="shared" si="18"/>
        <v>3796.35</v>
      </c>
      <c r="H133" s="192">
        <f t="shared" si="16"/>
        <v>1265.45</v>
      </c>
      <c r="I133" s="35"/>
      <c r="J133" s="35">
        <f t="shared" si="14"/>
        <v>5061.8</v>
      </c>
      <c r="K133" s="35">
        <v>291.64</v>
      </c>
      <c r="L133" s="35">
        <f>G133*1.1875%</f>
        <v>45.081656250000002</v>
      </c>
      <c r="M133" s="193"/>
      <c r="N133" s="35">
        <f>G133*1%</f>
        <v>37.963500000000003</v>
      </c>
      <c r="O133" s="35"/>
      <c r="P133" s="35">
        <f t="shared" si="15"/>
        <v>374.68515624999998</v>
      </c>
      <c r="Q133" s="193">
        <f t="shared" si="13"/>
        <v>4687.1148437500005</v>
      </c>
      <c r="R133" s="34"/>
    </row>
    <row r="134" spans="1:18" ht="70.7" customHeight="1" x14ac:dyDescent="0.25">
      <c r="A134" s="258"/>
      <c r="B134" s="275"/>
      <c r="C134" s="18" t="s">
        <v>468</v>
      </c>
      <c r="D134" s="18" t="s">
        <v>300</v>
      </c>
      <c r="E134" s="18">
        <v>253.09</v>
      </c>
      <c r="F134" s="143">
        <v>15</v>
      </c>
      <c r="G134" s="197">
        <f t="shared" si="18"/>
        <v>3796.35</v>
      </c>
      <c r="H134" s="192">
        <f t="shared" si="16"/>
        <v>1265.45</v>
      </c>
      <c r="I134" s="35"/>
      <c r="J134" s="35">
        <f t="shared" si="14"/>
        <v>5061.8</v>
      </c>
      <c r="K134" s="35">
        <v>291.64</v>
      </c>
      <c r="L134" s="35"/>
      <c r="M134" s="193"/>
      <c r="N134" s="35">
        <f>G134*1%</f>
        <v>37.963500000000003</v>
      </c>
      <c r="O134" s="35"/>
      <c r="P134" s="35">
        <f t="shared" si="15"/>
        <v>329.6035</v>
      </c>
      <c r="Q134" s="193">
        <f t="shared" si="13"/>
        <v>4732.1965</v>
      </c>
      <c r="R134" s="34"/>
    </row>
    <row r="135" spans="1:18" ht="70.7" customHeight="1" x14ac:dyDescent="0.25">
      <c r="A135" s="259" t="s">
        <v>153</v>
      </c>
      <c r="B135" s="275" t="s">
        <v>220</v>
      </c>
      <c r="C135" s="17" t="s">
        <v>37</v>
      </c>
      <c r="D135" s="18" t="s">
        <v>52</v>
      </c>
      <c r="E135" s="17">
        <v>400</v>
      </c>
      <c r="F135" s="142">
        <v>15</v>
      </c>
      <c r="G135" s="196">
        <f t="shared" si="18"/>
        <v>6000</v>
      </c>
      <c r="H135" s="192">
        <f t="shared" si="16"/>
        <v>2000</v>
      </c>
      <c r="I135" s="35"/>
      <c r="J135" s="35">
        <f t="shared" si="14"/>
        <v>8000</v>
      </c>
      <c r="K135" s="35">
        <v>643.42999999999995</v>
      </c>
      <c r="L135" s="35"/>
      <c r="M135" s="193"/>
      <c r="N135" s="35"/>
      <c r="O135" s="35">
        <f>G135*3%</f>
        <v>180</v>
      </c>
      <c r="P135" s="35">
        <f t="shared" si="15"/>
        <v>823.43</v>
      </c>
      <c r="Q135" s="193">
        <f t="shared" si="13"/>
        <v>7176.57</v>
      </c>
      <c r="R135" s="34"/>
    </row>
    <row r="136" spans="1:18" ht="70.7" customHeight="1" x14ac:dyDescent="0.25">
      <c r="A136" s="260"/>
      <c r="B136" s="275"/>
      <c r="C136" s="17" t="s">
        <v>348</v>
      </c>
      <c r="D136" s="18" t="s">
        <v>154</v>
      </c>
      <c r="E136" s="17">
        <v>238.67</v>
      </c>
      <c r="F136" s="142">
        <v>15</v>
      </c>
      <c r="G136" s="196">
        <f>E136*F136</f>
        <v>3580.0499999999997</v>
      </c>
      <c r="H136" s="192">
        <f t="shared" si="16"/>
        <v>1193.3499999999999</v>
      </c>
      <c r="I136" s="35"/>
      <c r="J136" s="35">
        <f t="shared" si="14"/>
        <v>4773.3999999999996</v>
      </c>
      <c r="K136" s="35">
        <v>160.71</v>
      </c>
      <c r="L136" s="35"/>
      <c r="M136" s="193"/>
      <c r="N136" s="35"/>
      <c r="O136" s="35"/>
      <c r="P136" s="35">
        <f t="shared" si="15"/>
        <v>160.71</v>
      </c>
      <c r="Q136" s="193">
        <f t="shared" si="13"/>
        <v>4612.6899999999996</v>
      </c>
      <c r="R136" s="34"/>
    </row>
    <row r="137" spans="1:18" ht="70.7" customHeight="1" x14ac:dyDescent="0.25">
      <c r="A137" s="260"/>
      <c r="B137" s="346" t="s">
        <v>221</v>
      </c>
      <c r="C137" s="17" t="s">
        <v>37</v>
      </c>
      <c r="D137" s="18" t="s">
        <v>155</v>
      </c>
      <c r="E137" s="17">
        <v>423.02</v>
      </c>
      <c r="F137" s="142">
        <v>15</v>
      </c>
      <c r="G137" s="196">
        <f>E137*F137</f>
        <v>6345.2999999999993</v>
      </c>
      <c r="H137" s="192">
        <f t="shared" si="16"/>
        <v>2115.1</v>
      </c>
      <c r="I137" s="35"/>
      <c r="J137" s="35">
        <f t="shared" si="14"/>
        <v>8460.4</v>
      </c>
      <c r="K137" s="35">
        <v>717.18</v>
      </c>
      <c r="L137" s="35"/>
      <c r="M137" s="193"/>
      <c r="N137" s="35"/>
      <c r="O137" s="35">
        <f>G137*3%</f>
        <v>190.35899999999998</v>
      </c>
      <c r="P137" s="35">
        <f t="shared" si="15"/>
        <v>907.53899999999999</v>
      </c>
      <c r="Q137" s="193">
        <f t="shared" si="13"/>
        <v>7552.8609999999999</v>
      </c>
      <c r="R137" s="34"/>
    </row>
    <row r="138" spans="1:18" ht="70.7" customHeight="1" x14ac:dyDescent="0.25">
      <c r="A138" s="260"/>
      <c r="B138" s="347"/>
      <c r="C138" s="17" t="s">
        <v>348</v>
      </c>
      <c r="D138" s="18" t="s">
        <v>156</v>
      </c>
      <c r="E138" s="17">
        <v>238.67</v>
      </c>
      <c r="F138" s="142">
        <v>15</v>
      </c>
      <c r="G138" s="196">
        <f>E138*F138</f>
        <v>3580.0499999999997</v>
      </c>
      <c r="H138" s="192">
        <f t="shared" si="16"/>
        <v>1193.3499999999999</v>
      </c>
      <c r="I138" s="35"/>
      <c r="J138" s="35">
        <f t="shared" si="14"/>
        <v>4773.3999999999996</v>
      </c>
      <c r="K138" s="35">
        <v>160.71</v>
      </c>
      <c r="L138" s="35"/>
      <c r="M138" s="193"/>
      <c r="N138" s="35"/>
      <c r="O138" s="35"/>
      <c r="P138" s="35">
        <f t="shared" si="15"/>
        <v>160.71</v>
      </c>
      <c r="Q138" s="193">
        <f t="shared" si="13"/>
        <v>4612.6899999999996</v>
      </c>
      <c r="R138" s="34"/>
    </row>
    <row r="139" spans="1:18" ht="70.7" customHeight="1" x14ac:dyDescent="0.25">
      <c r="A139" s="260"/>
      <c r="B139" s="37" t="s">
        <v>157</v>
      </c>
      <c r="C139" s="17" t="s">
        <v>37</v>
      </c>
      <c r="D139" s="18" t="s">
        <v>546</v>
      </c>
      <c r="E139" s="17">
        <v>358.8</v>
      </c>
      <c r="F139" s="142">
        <v>15</v>
      </c>
      <c r="G139" s="196">
        <f t="shared" si="18"/>
        <v>5382</v>
      </c>
      <c r="H139" s="192">
        <f>+E139*2.16</f>
        <v>775.00800000000004</v>
      </c>
      <c r="I139" s="35"/>
      <c r="J139" s="35">
        <f t="shared" si="14"/>
        <v>6157.0079999999998</v>
      </c>
      <c r="K139" s="35">
        <v>530.09</v>
      </c>
      <c r="L139" s="35"/>
      <c r="M139" s="193"/>
      <c r="N139" s="35"/>
      <c r="O139" s="35">
        <f>G139*3%</f>
        <v>161.46</v>
      </c>
      <c r="P139" s="35">
        <f t="shared" si="15"/>
        <v>691.55000000000007</v>
      </c>
      <c r="Q139" s="193">
        <f t="shared" si="13"/>
        <v>5465.4579999999996</v>
      </c>
      <c r="R139" s="34"/>
    </row>
    <row r="140" spans="1:18" ht="70.7" customHeight="1" x14ac:dyDescent="0.25">
      <c r="A140" s="260"/>
      <c r="B140" s="275" t="s">
        <v>158</v>
      </c>
      <c r="C140" s="17" t="s">
        <v>37</v>
      </c>
      <c r="D140" s="18" t="s">
        <v>160</v>
      </c>
      <c r="E140" s="17">
        <v>400</v>
      </c>
      <c r="F140" s="142">
        <v>15</v>
      </c>
      <c r="G140" s="196">
        <f t="shared" si="18"/>
        <v>6000</v>
      </c>
      <c r="H140" s="192">
        <f t="shared" si="16"/>
        <v>2000</v>
      </c>
      <c r="I140" s="35"/>
      <c r="J140" s="35">
        <f t="shared" si="14"/>
        <v>8000</v>
      </c>
      <c r="K140" s="35">
        <v>643.42999999999995</v>
      </c>
      <c r="L140" s="35"/>
      <c r="M140" s="193"/>
      <c r="N140" s="35"/>
      <c r="O140" s="35">
        <f>G140*3%</f>
        <v>180</v>
      </c>
      <c r="P140" s="35">
        <f t="shared" si="15"/>
        <v>823.43</v>
      </c>
      <c r="Q140" s="193">
        <f t="shared" si="13"/>
        <v>7176.57</v>
      </c>
      <c r="R140" s="34"/>
    </row>
    <row r="141" spans="1:18" ht="70.7" customHeight="1" x14ac:dyDescent="0.25">
      <c r="A141" s="260"/>
      <c r="B141" s="275"/>
      <c r="C141" s="17" t="s">
        <v>159</v>
      </c>
      <c r="D141" s="18" t="s">
        <v>161</v>
      </c>
      <c r="E141" s="17">
        <v>320</v>
      </c>
      <c r="F141" s="142">
        <v>15</v>
      </c>
      <c r="G141" s="196">
        <f t="shared" si="18"/>
        <v>4800</v>
      </c>
      <c r="H141" s="192">
        <f t="shared" si="16"/>
        <v>1600</v>
      </c>
      <c r="I141" s="35"/>
      <c r="J141" s="35">
        <f t="shared" si="14"/>
        <v>6400</v>
      </c>
      <c r="K141" s="35">
        <v>428.58</v>
      </c>
      <c r="L141" s="35"/>
      <c r="M141" s="193"/>
      <c r="N141" s="35"/>
      <c r="O141" s="35">
        <f>G141*2%</f>
        <v>96</v>
      </c>
      <c r="P141" s="35">
        <f t="shared" si="15"/>
        <v>524.57999999999993</v>
      </c>
      <c r="Q141" s="193">
        <f t="shared" si="13"/>
        <v>5875.42</v>
      </c>
      <c r="R141" s="34"/>
    </row>
    <row r="142" spans="1:18" ht="70.7" customHeight="1" x14ac:dyDescent="0.25">
      <c r="A142" s="260"/>
      <c r="B142" s="244" t="s">
        <v>162</v>
      </c>
      <c r="C142" s="17" t="s">
        <v>37</v>
      </c>
      <c r="D142" s="18" t="s">
        <v>163</v>
      </c>
      <c r="E142" s="17">
        <v>449.95</v>
      </c>
      <c r="F142" s="142">
        <v>15</v>
      </c>
      <c r="G142" s="196">
        <f t="shared" si="18"/>
        <v>6749.25</v>
      </c>
      <c r="H142" s="192">
        <f t="shared" si="16"/>
        <v>2249.75</v>
      </c>
      <c r="I142" s="35"/>
      <c r="J142" s="35">
        <f t="shared" si="14"/>
        <v>8999</v>
      </c>
      <c r="K142" s="35">
        <v>803.47</v>
      </c>
      <c r="L142" s="35"/>
      <c r="M142" s="193"/>
      <c r="N142" s="35"/>
      <c r="O142" s="35">
        <f>G142*3%</f>
        <v>202.47749999999999</v>
      </c>
      <c r="P142" s="35">
        <f t="shared" si="15"/>
        <v>1005.9475</v>
      </c>
      <c r="Q142" s="193">
        <f t="shared" si="13"/>
        <v>7993.0524999999998</v>
      </c>
      <c r="R142" s="34"/>
    </row>
    <row r="143" spans="1:18" ht="70.7" customHeight="1" x14ac:dyDescent="0.25">
      <c r="A143" s="260"/>
      <c r="B143" s="268"/>
      <c r="C143" s="17" t="s">
        <v>159</v>
      </c>
      <c r="D143" s="18" t="s">
        <v>164</v>
      </c>
      <c r="E143" s="17">
        <v>320</v>
      </c>
      <c r="F143" s="142">
        <v>15</v>
      </c>
      <c r="G143" s="196">
        <f t="shared" si="18"/>
        <v>4800</v>
      </c>
      <c r="H143" s="192">
        <f t="shared" si="16"/>
        <v>1600</v>
      </c>
      <c r="I143" s="35"/>
      <c r="J143" s="35">
        <f t="shared" si="14"/>
        <v>6400</v>
      </c>
      <c r="K143" s="35">
        <v>428.58</v>
      </c>
      <c r="L143" s="35"/>
      <c r="M143" s="193"/>
      <c r="N143" s="35"/>
      <c r="O143" s="35">
        <f>G143*2%</f>
        <v>96</v>
      </c>
      <c r="P143" s="35">
        <f t="shared" si="15"/>
        <v>524.57999999999993</v>
      </c>
      <c r="Q143" s="193">
        <f t="shared" si="13"/>
        <v>5875.42</v>
      </c>
      <c r="R143" s="34"/>
    </row>
    <row r="144" spans="1:18" ht="70.7" customHeight="1" x14ac:dyDescent="0.25">
      <c r="A144" s="260"/>
      <c r="B144" s="245"/>
      <c r="C144" s="17" t="s">
        <v>124</v>
      </c>
      <c r="D144" s="18" t="s">
        <v>165</v>
      </c>
      <c r="E144" s="17">
        <v>173.96</v>
      </c>
      <c r="F144" s="142">
        <v>15</v>
      </c>
      <c r="G144" s="196">
        <f t="shared" si="18"/>
        <v>2609.4</v>
      </c>
      <c r="H144" s="192">
        <f t="shared" si="16"/>
        <v>869.80000000000007</v>
      </c>
      <c r="I144" s="35"/>
      <c r="J144" s="35">
        <f t="shared" si="14"/>
        <v>3479.2000000000003</v>
      </c>
      <c r="K144" s="35">
        <v>2.15</v>
      </c>
      <c r="L144" s="35"/>
      <c r="M144" s="193"/>
      <c r="N144" s="35"/>
      <c r="O144" s="35"/>
      <c r="P144" s="35">
        <f t="shared" si="15"/>
        <v>2.15</v>
      </c>
      <c r="Q144" s="193">
        <f t="shared" si="13"/>
        <v>3477.05</v>
      </c>
      <c r="R144" s="34"/>
    </row>
    <row r="145" spans="1:18" ht="70.7" customHeight="1" x14ac:dyDescent="0.25">
      <c r="A145" s="261" t="s">
        <v>153</v>
      </c>
      <c r="B145" s="244" t="s">
        <v>162</v>
      </c>
      <c r="C145" s="17" t="s">
        <v>33</v>
      </c>
      <c r="D145" s="18" t="s">
        <v>166</v>
      </c>
      <c r="E145" s="36">
        <v>207.79</v>
      </c>
      <c r="F145" s="141">
        <v>15</v>
      </c>
      <c r="G145" s="196">
        <f t="shared" si="18"/>
        <v>3116.85</v>
      </c>
      <c r="H145" s="192">
        <f t="shared" si="16"/>
        <v>1038.95</v>
      </c>
      <c r="I145" s="35"/>
      <c r="J145" s="35">
        <f t="shared" si="14"/>
        <v>4155.8</v>
      </c>
      <c r="K145" s="35">
        <v>92.61</v>
      </c>
      <c r="L145" s="35">
        <f>G145*1.1875%</f>
        <v>37.012593750000001</v>
      </c>
      <c r="M145" s="193"/>
      <c r="N145" s="35">
        <f>G145*1%</f>
        <v>31.168499999999998</v>
      </c>
      <c r="O145" s="35"/>
      <c r="P145" s="35">
        <f t="shared" si="15"/>
        <v>160.79109374999999</v>
      </c>
      <c r="Q145" s="193">
        <f t="shared" si="13"/>
        <v>3995.0089062500001</v>
      </c>
      <c r="R145" s="34"/>
    </row>
    <row r="146" spans="1:18" ht="70.7" customHeight="1" x14ac:dyDescent="0.25">
      <c r="A146" s="261"/>
      <c r="B146" s="268"/>
      <c r="C146" s="17" t="s">
        <v>459</v>
      </c>
      <c r="D146" s="18" t="s">
        <v>386</v>
      </c>
      <c r="E146" s="36">
        <v>225.89</v>
      </c>
      <c r="F146" s="141">
        <v>15</v>
      </c>
      <c r="G146" s="196">
        <f t="shared" si="18"/>
        <v>3388.35</v>
      </c>
      <c r="H146" s="192">
        <f t="shared" si="16"/>
        <v>1129.4499999999998</v>
      </c>
      <c r="I146" s="35"/>
      <c r="J146" s="35">
        <f t="shared" si="14"/>
        <v>4517.7999999999993</v>
      </c>
      <c r="K146" s="35">
        <v>122.15</v>
      </c>
      <c r="L146" s="35"/>
      <c r="M146" s="193"/>
      <c r="N146" s="35">
        <f>G146*1%</f>
        <v>33.883499999999998</v>
      </c>
      <c r="O146" s="35"/>
      <c r="P146" s="35">
        <f t="shared" si="15"/>
        <v>156.0335</v>
      </c>
      <c r="Q146" s="193">
        <f t="shared" si="13"/>
        <v>4361.7664999999997</v>
      </c>
      <c r="R146" s="34"/>
    </row>
    <row r="147" spans="1:18" ht="70.7" customHeight="1" x14ac:dyDescent="0.25">
      <c r="A147" s="261"/>
      <c r="B147" s="268"/>
      <c r="C147" s="17" t="s">
        <v>479</v>
      </c>
      <c r="D147" s="18" t="s">
        <v>167</v>
      </c>
      <c r="E147" s="17">
        <v>358.8</v>
      </c>
      <c r="F147" s="142">
        <v>15</v>
      </c>
      <c r="G147" s="196">
        <f t="shared" si="18"/>
        <v>5382</v>
      </c>
      <c r="H147" s="192">
        <f t="shared" si="16"/>
        <v>1794</v>
      </c>
      <c r="I147" s="35"/>
      <c r="J147" s="35">
        <f t="shared" si="14"/>
        <v>7176</v>
      </c>
      <c r="K147" s="35">
        <v>530.04</v>
      </c>
      <c r="L147" s="35"/>
      <c r="M147" s="193"/>
      <c r="N147" s="35"/>
      <c r="O147" s="35">
        <f>G147*3%</f>
        <v>161.46</v>
      </c>
      <c r="P147" s="35">
        <f t="shared" si="15"/>
        <v>691.5</v>
      </c>
      <c r="Q147" s="193">
        <f t="shared" si="13"/>
        <v>6484.5</v>
      </c>
      <c r="R147" s="34"/>
    </row>
    <row r="148" spans="1:18" ht="70.7" customHeight="1" x14ac:dyDescent="0.25">
      <c r="A148" s="261"/>
      <c r="B148" s="268"/>
      <c r="C148" s="17" t="s">
        <v>168</v>
      </c>
      <c r="D148" s="18" t="s">
        <v>169</v>
      </c>
      <c r="E148" s="17">
        <v>396.04</v>
      </c>
      <c r="F148" s="142">
        <v>15</v>
      </c>
      <c r="G148" s="196">
        <f t="shared" si="18"/>
        <v>5940.6</v>
      </c>
      <c r="H148" s="192">
        <f t="shared" si="16"/>
        <v>1980.2</v>
      </c>
      <c r="I148" s="35"/>
      <c r="J148" s="35">
        <f t="shared" si="14"/>
        <v>7920.8</v>
      </c>
      <c r="K148" s="35">
        <v>630.74</v>
      </c>
      <c r="L148" s="35">
        <f>G148*1.1875%</f>
        <v>70.544625000000011</v>
      </c>
      <c r="M148" s="193"/>
      <c r="N148" s="35">
        <f>G148*1%</f>
        <v>59.406000000000006</v>
      </c>
      <c r="O148" s="35"/>
      <c r="P148" s="35">
        <f t="shared" si="15"/>
        <v>760.69062499999995</v>
      </c>
      <c r="Q148" s="193">
        <f t="shared" si="13"/>
        <v>7160.109375</v>
      </c>
      <c r="R148" s="34"/>
    </row>
    <row r="149" spans="1:18" ht="70.7" customHeight="1" x14ac:dyDescent="0.25">
      <c r="A149" s="261"/>
      <c r="B149" s="268"/>
      <c r="C149" s="17" t="s">
        <v>170</v>
      </c>
      <c r="D149" s="18" t="s">
        <v>171</v>
      </c>
      <c r="E149" s="17">
        <v>361.42</v>
      </c>
      <c r="F149" s="142">
        <v>15</v>
      </c>
      <c r="G149" s="196">
        <f t="shared" si="18"/>
        <v>5421.3</v>
      </c>
      <c r="H149" s="192">
        <f t="shared" si="16"/>
        <v>1807.1000000000001</v>
      </c>
      <c r="I149" s="35"/>
      <c r="J149" s="35">
        <f t="shared" si="14"/>
        <v>7228.4000000000005</v>
      </c>
      <c r="K149" s="35">
        <v>537.09</v>
      </c>
      <c r="L149" s="35">
        <f>G149*1.1875%</f>
        <v>64.377937500000002</v>
      </c>
      <c r="M149" s="193"/>
      <c r="N149" s="35">
        <f>G149*1%</f>
        <v>54.213000000000001</v>
      </c>
      <c r="O149" s="35"/>
      <c r="P149" s="35">
        <f t="shared" si="15"/>
        <v>655.68093750000003</v>
      </c>
      <c r="Q149" s="193">
        <f t="shared" si="13"/>
        <v>6572.7190625000003</v>
      </c>
      <c r="R149" s="34"/>
    </row>
    <row r="150" spans="1:18" ht="70.7" customHeight="1" x14ac:dyDescent="0.25">
      <c r="A150" s="261"/>
      <c r="B150" s="268"/>
      <c r="C150" s="17" t="s">
        <v>172</v>
      </c>
      <c r="D150" s="18" t="s">
        <v>173</v>
      </c>
      <c r="E150" s="17">
        <v>361.42</v>
      </c>
      <c r="F150" s="142">
        <v>15</v>
      </c>
      <c r="G150" s="196">
        <f t="shared" ref="G150:G176" si="19">E150*F150</f>
        <v>5421.3</v>
      </c>
      <c r="H150" s="192">
        <f t="shared" si="16"/>
        <v>1807.1000000000001</v>
      </c>
      <c r="I150" s="35"/>
      <c r="J150" s="35">
        <f t="shared" si="14"/>
        <v>7228.4000000000005</v>
      </c>
      <c r="K150" s="35">
        <v>537.09</v>
      </c>
      <c r="L150" s="35">
        <f>G150*1.1875%</f>
        <v>64.377937500000002</v>
      </c>
      <c r="M150" s="193"/>
      <c r="N150" s="35">
        <f>G150*1%</f>
        <v>54.213000000000001</v>
      </c>
      <c r="O150" s="35"/>
      <c r="P150" s="35">
        <f t="shared" si="15"/>
        <v>655.68093750000003</v>
      </c>
      <c r="Q150" s="193">
        <f t="shared" si="13"/>
        <v>6572.7190625000003</v>
      </c>
      <c r="R150" s="34"/>
    </row>
    <row r="151" spans="1:18" ht="70.7" customHeight="1" thickBot="1" x14ac:dyDescent="0.3">
      <c r="A151" s="262"/>
      <c r="B151" s="245"/>
      <c r="C151" s="17" t="s">
        <v>387</v>
      </c>
      <c r="D151" s="18" t="s">
        <v>388</v>
      </c>
      <c r="E151" s="36">
        <v>396.04</v>
      </c>
      <c r="F151" s="141">
        <v>15</v>
      </c>
      <c r="G151" s="196">
        <f t="shared" si="19"/>
        <v>5940.6</v>
      </c>
      <c r="H151" s="192">
        <f t="shared" si="16"/>
        <v>1980.2</v>
      </c>
      <c r="I151" s="35"/>
      <c r="J151" s="35">
        <f t="shared" ref="J151:J214" si="20">G151+I151+H151</f>
        <v>7920.8</v>
      </c>
      <c r="K151" s="35">
        <v>630.74</v>
      </c>
      <c r="L151" s="35">
        <f>G151*1.1875%</f>
        <v>70.544625000000011</v>
      </c>
      <c r="M151" s="193"/>
      <c r="N151" s="35">
        <f>G151*1%</f>
        <v>59.406000000000006</v>
      </c>
      <c r="O151" s="35"/>
      <c r="P151" s="35">
        <f t="shared" ref="P151:P214" si="21">K151+L151+N151+O151+M151</f>
        <v>760.69062499999995</v>
      </c>
      <c r="Q151" s="193">
        <f t="shared" ref="Q151:Q213" si="22">J151-P151</f>
        <v>7160.109375</v>
      </c>
      <c r="R151" s="34"/>
    </row>
    <row r="152" spans="1:18" ht="70.7" customHeight="1" x14ac:dyDescent="0.25">
      <c r="A152" s="256" t="s">
        <v>242</v>
      </c>
      <c r="B152" s="244" t="s">
        <v>178</v>
      </c>
      <c r="C152" s="17" t="s">
        <v>37</v>
      </c>
      <c r="D152" s="18" t="s">
        <v>179</v>
      </c>
      <c r="E152" s="17">
        <v>423.02</v>
      </c>
      <c r="F152" s="142">
        <v>15</v>
      </c>
      <c r="G152" s="196">
        <f t="shared" si="19"/>
        <v>6345.2999999999993</v>
      </c>
      <c r="H152" s="192">
        <f t="shared" si="16"/>
        <v>2115.1</v>
      </c>
      <c r="I152" s="35"/>
      <c r="J152" s="35">
        <f t="shared" si="20"/>
        <v>8460.4</v>
      </c>
      <c r="K152" s="35">
        <v>717.18</v>
      </c>
      <c r="L152" s="35"/>
      <c r="M152" s="193"/>
      <c r="N152" s="35"/>
      <c r="O152" s="35">
        <f>G152*3%</f>
        <v>190.35899999999998</v>
      </c>
      <c r="P152" s="35">
        <f t="shared" si="21"/>
        <v>907.53899999999999</v>
      </c>
      <c r="Q152" s="193">
        <f t="shared" si="22"/>
        <v>7552.8609999999999</v>
      </c>
      <c r="R152" s="34"/>
    </row>
    <row r="153" spans="1:18" ht="70.7" customHeight="1" x14ac:dyDescent="0.25">
      <c r="A153" s="257"/>
      <c r="B153" s="268"/>
      <c r="C153" s="17" t="s">
        <v>159</v>
      </c>
      <c r="D153" s="18" t="s">
        <v>180</v>
      </c>
      <c r="E153" s="17">
        <v>320</v>
      </c>
      <c r="F153" s="142">
        <v>15</v>
      </c>
      <c r="G153" s="196">
        <f t="shared" si="19"/>
        <v>4800</v>
      </c>
      <c r="H153" s="192">
        <f t="shared" si="16"/>
        <v>1600</v>
      </c>
      <c r="I153" s="35"/>
      <c r="J153" s="35">
        <f t="shared" si="20"/>
        <v>6400</v>
      </c>
      <c r="K153" s="35">
        <v>428.58</v>
      </c>
      <c r="L153" s="35"/>
      <c r="M153" s="193"/>
      <c r="N153" s="35"/>
      <c r="O153" s="35">
        <f>G153*2%</f>
        <v>96</v>
      </c>
      <c r="P153" s="35">
        <f t="shared" si="21"/>
        <v>524.57999999999993</v>
      </c>
      <c r="Q153" s="193">
        <f t="shared" si="22"/>
        <v>5875.42</v>
      </c>
      <c r="R153" s="34"/>
    </row>
    <row r="154" spans="1:18" ht="70.7" customHeight="1" x14ac:dyDescent="0.25">
      <c r="A154" s="257"/>
      <c r="B154" s="268"/>
      <c r="C154" s="17" t="s">
        <v>464</v>
      </c>
      <c r="D154" s="18" t="s">
        <v>182</v>
      </c>
      <c r="E154" s="17">
        <v>361.5</v>
      </c>
      <c r="F154" s="142">
        <v>15</v>
      </c>
      <c r="G154" s="196">
        <f t="shared" si="19"/>
        <v>5422.5</v>
      </c>
      <c r="H154" s="192">
        <f t="shared" ref="H154:H216" si="23">+E154*5</f>
        <v>1807.5</v>
      </c>
      <c r="I154" s="35"/>
      <c r="J154" s="35">
        <f t="shared" si="20"/>
        <v>7230</v>
      </c>
      <c r="K154" s="35">
        <v>537.29999999999995</v>
      </c>
      <c r="L154" s="35">
        <f>G154*1.1875%</f>
        <v>64.392187500000006</v>
      </c>
      <c r="M154" s="193"/>
      <c r="N154" s="35">
        <f>G154*1%</f>
        <v>54.225000000000001</v>
      </c>
      <c r="O154" s="35"/>
      <c r="P154" s="35">
        <f t="shared" si="21"/>
        <v>655.91718749999995</v>
      </c>
      <c r="Q154" s="193">
        <f t="shared" si="22"/>
        <v>6574.0828124999998</v>
      </c>
      <c r="R154" s="34"/>
    </row>
    <row r="155" spans="1:18" ht="70.7" customHeight="1" x14ac:dyDescent="0.25">
      <c r="A155" s="257"/>
      <c r="B155" s="268"/>
      <c r="C155" s="17" t="s">
        <v>349</v>
      </c>
      <c r="D155" s="39" t="s">
        <v>347</v>
      </c>
      <c r="E155" s="41">
        <v>238.67</v>
      </c>
      <c r="F155" s="142">
        <v>15</v>
      </c>
      <c r="G155" s="196">
        <f t="shared" si="19"/>
        <v>3580.0499999999997</v>
      </c>
      <c r="H155" s="192">
        <f t="shared" si="23"/>
        <v>1193.3499999999999</v>
      </c>
      <c r="I155" s="35"/>
      <c r="J155" s="35">
        <f t="shared" si="20"/>
        <v>4773.3999999999996</v>
      </c>
      <c r="K155" s="35">
        <v>160.71</v>
      </c>
      <c r="L155" s="35"/>
      <c r="M155" s="193"/>
      <c r="N155" s="35"/>
      <c r="O155" s="35"/>
      <c r="P155" s="35">
        <f t="shared" si="21"/>
        <v>160.71</v>
      </c>
      <c r="Q155" s="193">
        <f t="shared" si="22"/>
        <v>4612.6899999999996</v>
      </c>
      <c r="R155" s="34"/>
    </row>
    <row r="156" spans="1:18" ht="70.7" customHeight="1" x14ac:dyDescent="0.25">
      <c r="A156" s="257"/>
      <c r="B156" s="268"/>
      <c r="C156" s="17" t="s">
        <v>33</v>
      </c>
      <c r="D156" s="18" t="s">
        <v>181</v>
      </c>
      <c r="E156" s="17">
        <v>207.79</v>
      </c>
      <c r="F156" s="142">
        <v>15</v>
      </c>
      <c r="G156" s="196">
        <f t="shared" si="19"/>
        <v>3116.85</v>
      </c>
      <c r="H156" s="192">
        <f t="shared" si="23"/>
        <v>1038.95</v>
      </c>
      <c r="I156" s="35"/>
      <c r="J156" s="35">
        <f t="shared" si="20"/>
        <v>4155.8</v>
      </c>
      <c r="K156" s="35">
        <v>92.61</v>
      </c>
      <c r="L156" s="35">
        <f t="shared" ref="L156:L163" si="24">G156*1.1875%</f>
        <v>37.012593750000001</v>
      </c>
      <c r="M156" s="193"/>
      <c r="N156" s="35">
        <f>G156*1%</f>
        <v>31.168499999999998</v>
      </c>
      <c r="O156" s="35"/>
      <c r="P156" s="35">
        <f t="shared" si="21"/>
        <v>160.79109374999999</v>
      </c>
      <c r="Q156" s="193">
        <f t="shared" si="22"/>
        <v>3995.0089062500001</v>
      </c>
      <c r="R156" s="34"/>
    </row>
    <row r="157" spans="1:18" ht="70.7" customHeight="1" x14ac:dyDescent="0.25">
      <c r="A157" s="257"/>
      <c r="B157" s="268"/>
      <c r="C157" s="318" t="s">
        <v>355</v>
      </c>
      <c r="D157" s="18" t="s">
        <v>350</v>
      </c>
      <c r="E157" s="17">
        <v>225.89</v>
      </c>
      <c r="F157" s="142">
        <v>15</v>
      </c>
      <c r="G157" s="196">
        <f t="shared" si="19"/>
        <v>3388.35</v>
      </c>
      <c r="H157" s="192">
        <f t="shared" si="23"/>
        <v>1129.4499999999998</v>
      </c>
      <c r="I157" s="35"/>
      <c r="J157" s="35">
        <f t="shared" si="20"/>
        <v>4517.7999999999993</v>
      </c>
      <c r="K157" s="35">
        <v>122.15</v>
      </c>
      <c r="L157" s="35">
        <f t="shared" si="24"/>
        <v>40.236656250000003</v>
      </c>
      <c r="M157" s="202"/>
      <c r="N157" s="56">
        <f>G157*1%</f>
        <v>33.883499999999998</v>
      </c>
      <c r="O157" s="35"/>
      <c r="P157" s="35">
        <f t="shared" si="21"/>
        <v>196.27015625000001</v>
      </c>
      <c r="Q157" s="193">
        <f t="shared" si="22"/>
        <v>4321.5298437499996</v>
      </c>
      <c r="R157" s="34"/>
    </row>
    <row r="158" spans="1:18" ht="70.7" customHeight="1" x14ac:dyDescent="0.25">
      <c r="A158" s="257"/>
      <c r="B158" s="268"/>
      <c r="C158" s="319"/>
      <c r="D158" s="18" t="s">
        <v>351</v>
      </c>
      <c r="E158" s="17">
        <v>225.89</v>
      </c>
      <c r="F158" s="142">
        <v>15</v>
      </c>
      <c r="G158" s="196">
        <f t="shared" si="19"/>
        <v>3388.35</v>
      </c>
      <c r="H158" s="192">
        <f t="shared" si="23"/>
        <v>1129.4499999999998</v>
      </c>
      <c r="I158" s="35"/>
      <c r="J158" s="35">
        <f t="shared" si="20"/>
        <v>4517.7999999999993</v>
      </c>
      <c r="K158" s="35">
        <v>122.15</v>
      </c>
      <c r="L158" s="35">
        <f t="shared" si="24"/>
        <v>40.236656250000003</v>
      </c>
      <c r="M158" s="193">
        <v>562.5</v>
      </c>
      <c r="N158" s="35">
        <f>G157*1%</f>
        <v>33.883499999999998</v>
      </c>
      <c r="O158" s="35"/>
      <c r="P158" s="35">
        <f t="shared" si="21"/>
        <v>758.77015625000001</v>
      </c>
      <c r="Q158" s="193">
        <f t="shared" si="22"/>
        <v>3759.0298437499991</v>
      </c>
      <c r="R158" s="34"/>
    </row>
    <row r="159" spans="1:18" ht="70.7" customHeight="1" x14ac:dyDescent="0.25">
      <c r="A159" s="257"/>
      <c r="B159" s="268"/>
      <c r="C159" s="319"/>
      <c r="D159" s="18" t="s">
        <v>352</v>
      </c>
      <c r="E159" s="17">
        <v>225.89</v>
      </c>
      <c r="F159" s="142">
        <v>15</v>
      </c>
      <c r="G159" s="196">
        <f t="shared" si="19"/>
        <v>3388.35</v>
      </c>
      <c r="H159" s="192">
        <f t="shared" si="23"/>
        <v>1129.4499999999998</v>
      </c>
      <c r="I159" s="35"/>
      <c r="J159" s="35">
        <f t="shared" si="20"/>
        <v>4517.7999999999993</v>
      </c>
      <c r="K159" s="35">
        <v>122.15</v>
      </c>
      <c r="L159" s="35">
        <f t="shared" si="24"/>
        <v>40.236656250000003</v>
      </c>
      <c r="M159" s="193"/>
      <c r="N159" s="35">
        <f>G158*1%</f>
        <v>33.883499999999998</v>
      </c>
      <c r="O159" s="35"/>
      <c r="P159" s="35">
        <f t="shared" si="21"/>
        <v>196.27015625000001</v>
      </c>
      <c r="Q159" s="193">
        <f t="shared" si="22"/>
        <v>4321.5298437499996</v>
      </c>
      <c r="R159" s="34"/>
    </row>
    <row r="160" spans="1:18" ht="70.7" customHeight="1" x14ac:dyDescent="0.25">
      <c r="A160" s="257"/>
      <c r="B160" s="268"/>
      <c r="C160" s="319"/>
      <c r="D160" s="18" t="s">
        <v>356</v>
      </c>
      <c r="E160" s="17">
        <v>225.89</v>
      </c>
      <c r="F160" s="142">
        <v>15</v>
      </c>
      <c r="G160" s="196">
        <f t="shared" si="19"/>
        <v>3388.35</v>
      </c>
      <c r="H160" s="192">
        <f t="shared" si="23"/>
        <v>1129.4499999999998</v>
      </c>
      <c r="I160" s="35"/>
      <c r="J160" s="35">
        <f t="shared" si="20"/>
        <v>4517.7999999999993</v>
      </c>
      <c r="K160" s="35">
        <v>122.15</v>
      </c>
      <c r="L160" s="35">
        <f t="shared" si="24"/>
        <v>40.236656250000003</v>
      </c>
      <c r="M160" s="193"/>
      <c r="N160" s="35">
        <f>G159*1%</f>
        <v>33.883499999999998</v>
      </c>
      <c r="O160" s="35"/>
      <c r="P160" s="35">
        <f t="shared" si="21"/>
        <v>196.27015625000001</v>
      </c>
      <c r="Q160" s="194">
        <f t="shared" si="22"/>
        <v>4321.5298437499996</v>
      </c>
      <c r="R160" s="34"/>
    </row>
    <row r="161" spans="1:18" ht="70.7" customHeight="1" x14ac:dyDescent="0.25">
      <c r="A161" s="257"/>
      <c r="B161" s="268"/>
      <c r="C161" s="320"/>
      <c r="D161" s="18" t="s">
        <v>198</v>
      </c>
      <c r="E161" s="17">
        <v>225.89</v>
      </c>
      <c r="F161" s="142">
        <v>15</v>
      </c>
      <c r="G161" s="196">
        <f t="shared" si="19"/>
        <v>3388.35</v>
      </c>
      <c r="H161" s="192">
        <f t="shared" si="23"/>
        <v>1129.4499999999998</v>
      </c>
      <c r="I161" s="35"/>
      <c r="J161" s="35">
        <f t="shared" si="20"/>
        <v>4517.7999999999993</v>
      </c>
      <c r="K161" s="35">
        <v>122.15</v>
      </c>
      <c r="L161" s="35"/>
      <c r="M161" s="193"/>
      <c r="N161" s="35"/>
      <c r="O161" s="35"/>
      <c r="P161" s="35">
        <f t="shared" si="21"/>
        <v>122.15</v>
      </c>
      <c r="Q161" s="193">
        <f t="shared" si="22"/>
        <v>4395.6499999999996</v>
      </c>
      <c r="R161" s="34"/>
    </row>
    <row r="162" spans="1:18" ht="70.7" customHeight="1" x14ac:dyDescent="0.25">
      <c r="A162" s="257"/>
      <c r="B162" s="245"/>
      <c r="C162" s="17" t="s">
        <v>477</v>
      </c>
      <c r="D162" s="18" t="s">
        <v>353</v>
      </c>
      <c r="E162" s="17">
        <v>187.9</v>
      </c>
      <c r="F162" s="142">
        <v>15</v>
      </c>
      <c r="G162" s="196">
        <f t="shared" si="19"/>
        <v>2818.5</v>
      </c>
      <c r="H162" s="192">
        <f t="shared" si="23"/>
        <v>939.5</v>
      </c>
      <c r="I162" s="35"/>
      <c r="J162" s="35">
        <f t="shared" si="20"/>
        <v>3758</v>
      </c>
      <c r="K162" s="35">
        <v>39.9</v>
      </c>
      <c r="L162" s="35">
        <f t="shared" si="24"/>
        <v>33.469687499999999</v>
      </c>
      <c r="M162" s="193"/>
      <c r="N162" s="35">
        <f>G162*1%</f>
        <v>28.185000000000002</v>
      </c>
      <c r="O162" s="35"/>
      <c r="P162" s="35">
        <f t="shared" si="21"/>
        <v>101.5546875</v>
      </c>
      <c r="Q162" s="193">
        <f t="shared" si="22"/>
        <v>3656.4453125</v>
      </c>
      <c r="R162" s="34"/>
    </row>
    <row r="163" spans="1:18" ht="70.7" customHeight="1" x14ac:dyDescent="0.25">
      <c r="A163" s="257" t="s">
        <v>242</v>
      </c>
      <c r="B163" s="244" t="s">
        <v>178</v>
      </c>
      <c r="C163" s="17" t="s">
        <v>478</v>
      </c>
      <c r="D163" s="18" t="s">
        <v>354</v>
      </c>
      <c r="E163" s="17">
        <v>165.32</v>
      </c>
      <c r="F163" s="142">
        <v>15</v>
      </c>
      <c r="G163" s="196">
        <f t="shared" si="19"/>
        <v>2479.7999999999997</v>
      </c>
      <c r="H163" s="192">
        <f t="shared" si="23"/>
        <v>826.59999999999991</v>
      </c>
      <c r="I163" s="35">
        <v>11.95</v>
      </c>
      <c r="J163" s="35">
        <f t="shared" si="20"/>
        <v>3318.3499999999995</v>
      </c>
      <c r="K163" s="35"/>
      <c r="L163" s="35">
        <f t="shared" si="24"/>
        <v>29.447624999999999</v>
      </c>
      <c r="M163" s="193"/>
      <c r="N163" s="35">
        <f>G163*1%</f>
        <v>24.797999999999998</v>
      </c>
      <c r="O163" s="35"/>
      <c r="P163" s="35">
        <f t="shared" si="21"/>
        <v>54.245624999999997</v>
      </c>
      <c r="Q163" s="193">
        <f t="shared" si="22"/>
        <v>3264.1043749999994</v>
      </c>
      <c r="R163" s="34"/>
    </row>
    <row r="164" spans="1:18" ht="70.7" customHeight="1" x14ac:dyDescent="0.25">
      <c r="A164" s="257"/>
      <c r="B164" s="268"/>
      <c r="C164" s="318" t="s">
        <v>476</v>
      </c>
      <c r="D164" s="18" t="s">
        <v>357</v>
      </c>
      <c r="E164" s="36">
        <v>198.78</v>
      </c>
      <c r="F164" s="141">
        <v>15</v>
      </c>
      <c r="G164" s="196">
        <f t="shared" si="19"/>
        <v>2981.7</v>
      </c>
      <c r="H164" s="192">
        <f t="shared" si="23"/>
        <v>993.9</v>
      </c>
      <c r="I164" s="35"/>
      <c r="J164" s="35">
        <f t="shared" si="20"/>
        <v>3975.6</v>
      </c>
      <c r="K164" s="35">
        <v>57.66</v>
      </c>
      <c r="L164" s="35"/>
      <c r="M164" s="193"/>
      <c r="N164" s="35">
        <f>G164*1%</f>
        <v>29.817</v>
      </c>
      <c r="O164" s="35"/>
      <c r="P164" s="35">
        <f t="shared" si="21"/>
        <v>87.477000000000004</v>
      </c>
      <c r="Q164" s="193">
        <f t="shared" si="22"/>
        <v>3888.123</v>
      </c>
      <c r="R164" s="34"/>
    </row>
    <row r="165" spans="1:18" ht="70.7" customHeight="1" x14ac:dyDescent="0.25">
      <c r="A165" s="257"/>
      <c r="B165" s="268"/>
      <c r="C165" s="319"/>
      <c r="D165" s="18" t="s">
        <v>358</v>
      </c>
      <c r="E165" s="36">
        <v>198.78</v>
      </c>
      <c r="F165" s="141">
        <v>15</v>
      </c>
      <c r="G165" s="196">
        <f t="shared" si="19"/>
        <v>2981.7</v>
      </c>
      <c r="H165" s="192">
        <f t="shared" si="23"/>
        <v>993.9</v>
      </c>
      <c r="I165" s="35"/>
      <c r="J165" s="35">
        <f t="shared" si="20"/>
        <v>3975.6</v>
      </c>
      <c r="K165" s="35">
        <v>57.66</v>
      </c>
      <c r="L165" s="35">
        <f>G165*1.1875%</f>
        <v>35.407687500000002</v>
      </c>
      <c r="M165" s="193"/>
      <c r="N165" s="35">
        <f>G165*1%</f>
        <v>29.817</v>
      </c>
      <c r="O165" s="35"/>
      <c r="P165" s="35">
        <f t="shared" si="21"/>
        <v>122.88468750000001</v>
      </c>
      <c r="Q165" s="193">
        <f t="shared" si="22"/>
        <v>3852.7153125</v>
      </c>
      <c r="R165" s="34"/>
    </row>
    <row r="166" spans="1:18" ht="70.7" customHeight="1" x14ac:dyDescent="0.25">
      <c r="A166" s="257"/>
      <c r="B166" s="268"/>
      <c r="C166" s="319"/>
      <c r="D166" s="18" t="s">
        <v>359</v>
      </c>
      <c r="E166" s="36">
        <v>198.78</v>
      </c>
      <c r="F166" s="141">
        <v>15</v>
      </c>
      <c r="G166" s="196">
        <f t="shared" si="19"/>
        <v>2981.7</v>
      </c>
      <c r="H166" s="192">
        <f t="shared" si="23"/>
        <v>993.9</v>
      </c>
      <c r="I166" s="35"/>
      <c r="J166" s="35">
        <f t="shared" si="20"/>
        <v>3975.6</v>
      </c>
      <c r="K166" s="35">
        <v>57.66</v>
      </c>
      <c r="L166" s="35">
        <f>G166*1.1875%</f>
        <v>35.407687500000002</v>
      </c>
      <c r="M166" s="193"/>
      <c r="N166" s="35">
        <f>G166*1%</f>
        <v>29.817</v>
      </c>
      <c r="O166" s="35"/>
      <c r="P166" s="35">
        <f t="shared" si="21"/>
        <v>122.88468750000001</v>
      </c>
      <c r="Q166" s="193">
        <f t="shared" si="22"/>
        <v>3852.7153125</v>
      </c>
      <c r="R166" s="34"/>
    </row>
    <row r="167" spans="1:18" ht="70.7" customHeight="1" x14ac:dyDescent="0.25">
      <c r="A167" s="257"/>
      <c r="B167" s="268"/>
      <c r="C167" s="320"/>
      <c r="D167" s="18" t="s">
        <v>364</v>
      </c>
      <c r="E167" s="36">
        <v>198.78</v>
      </c>
      <c r="F167" s="141">
        <v>15</v>
      </c>
      <c r="G167" s="196">
        <f t="shared" si="19"/>
        <v>2981.7</v>
      </c>
      <c r="H167" s="192">
        <f t="shared" si="23"/>
        <v>993.9</v>
      </c>
      <c r="I167" s="35"/>
      <c r="J167" s="35">
        <f t="shared" si="20"/>
        <v>3975.6</v>
      </c>
      <c r="K167" s="35">
        <v>57.66</v>
      </c>
      <c r="L167" s="35"/>
      <c r="M167" s="193"/>
      <c r="N167" s="35"/>
      <c r="O167" s="35"/>
      <c r="P167" s="35">
        <f t="shared" si="21"/>
        <v>57.66</v>
      </c>
      <c r="Q167" s="194">
        <f t="shared" si="22"/>
        <v>3917.94</v>
      </c>
      <c r="R167" s="34"/>
    </row>
    <row r="168" spans="1:18" ht="70.7" customHeight="1" x14ac:dyDescent="0.25">
      <c r="A168" s="257"/>
      <c r="B168" s="268"/>
      <c r="C168" s="318" t="s">
        <v>475</v>
      </c>
      <c r="D168" s="18" t="s">
        <v>360</v>
      </c>
      <c r="E168" s="17">
        <v>162.62</v>
      </c>
      <c r="F168" s="142">
        <v>15</v>
      </c>
      <c r="G168" s="196">
        <f t="shared" si="19"/>
        <v>2439.3000000000002</v>
      </c>
      <c r="H168" s="192">
        <f t="shared" si="23"/>
        <v>813.1</v>
      </c>
      <c r="I168" s="35">
        <v>16.63</v>
      </c>
      <c r="J168" s="35">
        <f t="shared" si="20"/>
        <v>3269.03</v>
      </c>
      <c r="K168" s="35"/>
      <c r="L168" s="35"/>
      <c r="M168" s="193">
        <v>666.66</v>
      </c>
      <c r="N168" s="35"/>
      <c r="O168" s="35"/>
      <c r="P168" s="35">
        <f t="shared" si="21"/>
        <v>666.66</v>
      </c>
      <c r="Q168" s="193">
        <f t="shared" si="22"/>
        <v>2602.3700000000003</v>
      </c>
      <c r="R168" s="34"/>
    </row>
    <row r="169" spans="1:18" ht="70.7" customHeight="1" x14ac:dyDescent="0.25">
      <c r="A169" s="257"/>
      <c r="B169" s="268"/>
      <c r="C169" s="319"/>
      <c r="D169" s="39" t="s">
        <v>362</v>
      </c>
      <c r="E169" s="17">
        <v>162.62</v>
      </c>
      <c r="F169" s="141">
        <v>15</v>
      </c>
      <c r="G169" s="196">
        <f t="shared" si="19"/>
        <v>2439.3000000000002</v>
      </c>
      <c r="H169" s="192">
        <f t="shared" si="23"/>
        <v>813.1</v>
      </c>
      <c r="I169" s="35">
        <v>16.63</v>
      </c>
      <c r="J169" s="35">
        <f t="shared" si="20"/>
        <v>3269.03</v>
      </c>
      <c r="K169" s="35"/>
      <c r="L169" s="35"/>
      <c r="M169" s="193"/>
      <c r="N169" s="35"/>
      <c r="O169" s="35"/>
      <c r="P169" s="35">
        <f t="shared" si="21"/>
        <v>0</v>
      </c>
      <c r="Q169" s="193">
        <f t="shared" si="22"/>
        <v>3269.03</v>
      </c>
      <c r="R169" s="34"/>
    </row>
    <row r="170" spans="1:18" ht="70.7" customHeight="1" x14ac:dyDescent="0.25">
      <c r="A170" s="257"/>
      <c r="B170" s="268"/>
      <c r="C170" s="319"/>
      <c r="D170" s="18" t="s">
        <v>363</v>
      </c>
      <c r="E170" s="17">
        <v>162.62</v>
      </c>
      <c r="F170" s="142">
        <v>15</v>
      </c>
      <c r="G170" s="196">
        <f t="shared" si="19"/>
        <v>2439.3000000000002</v>
      </c>
      <c r="H170" s="192">
        <f t="shared" si="23"/>
        <v>813.1</v>
      </c>
      <c r="I170" s="35">
        <v>16.63</v>
      </c>
      <c r="J170" s="35">
        <f t="shared" si="20"/>
        <v>3269.03</v>
      </c>
      <c r="K170" s="35"/>
      <c r="L170" s="35"/>
      <c r="M170" s="193"/>
      <c r="N170" s="35"/>
      <c r="O170" s="35"/>
      <c r="P170" s="35">
        <f t="shared" si="21"/>
        <v>0</v>
      </c>
      <c r="Q170" s="194">
        <f t="shared" si="22"/>
        <v>3269.03</v>
      </c>
      <c r="R170" s="34"/>
    </row>
    <row r="171" spans="1:18" ht="70.7" customHeight="1" x14ac:dyDescent="0.25">
      <c r="A171" s="257"/>
      <c r="B171" s="268"/>
      <c r="C171" s="320"/>
      <c r="D171" s="39" t="s">
        <v>365</v>
      </c>
      <c r="E171" s="17">
        <v>162.62</v>
      </c>
      <c r="F171" s="142">
        <v>15</v>
      </c>
      <c r="G171" s="196">
        <f t="shared" si="19"/>
        <v>2439.3000000000002</v>
      </c>
      <c r="H171" s="192">
        <f t="shared" si="23"/>
        <v>813.1</v>
      </c>
      <c r="I171" s="35">
        <v>16.63</v>
      </c>
      <c r="J171" s="35">
        <f t="shared" si="20"/>
        <v>3269.03</v>
      </c>
      <c r="K171" s="35"/>
      <c r="L171" s="35"/>
      <c r="M171" s="193"/>
      <c r="N171" s="35"/>
      <c r="O171" s="35"/>
      <c r="P171" s="35">
        <f t="shared" si="21"/>
        <v>0</v>
      </c>
      <c r="Q171" s="194">
        <f t="shared" si="22"/>
        <v>3269.03</v>
      </c>
      <c r="R171" s="34"/>
    </row>
    <row r="172" spans="1:18" ht="70.7" customHeight="1" x14ac:dyDescent="0.25">
      <c r="A172" s="257"/>
      <c r="B172" s="268"/>
      <c r="C172" s="66" t="s">
        <v>473</v>
      </c>
      <c r="D172" s="18" t="s">
        <v>377</v>
      </c>
      <c r="E172" s="17">
        <v>66.67</v>
      </c>
      <c r="F172" s="142">
        <v>15</v>
      </c>
      <c r="G172" s="196">
        <f t="shared" si="19"/>
        <v>1000.0500000000001</v>
      </c>
      <c r="H172" s="192">
        <f t="shared" si="23"/>
        <v>333.35</v>
      </c>
      <c r="I172" s="35">
        <v>149.52000000000001</v>
      </c>
      <c r="J172" s="35">
        <f t="shared" si="20"/>
        <v>1482.92</v>
      </c>
      <c r="K172" s="35"/>
      <c r="L172" s="35"/>
      <c r="M172" s="193"/>
      <c r="N172" s="35"/>
      <c r="O172" s="35"/>
      <c r="P172" s="35">
        <f t="shared" si="21"/>
        <v>0</v>
      </c>
      <c r="Q172" s="194">
        <f t="shared" si="22"/>
        <v>1482.92</v>
      </c>
      <c r="R172" s="34"/>
    </row>
    <row r="173" spans="1:18" ht="70.7" customHeight="1" x14ac:dyDescent="0.25">
      <c r="A173" s="257"/>
      <c r="B173" s="245"/>
      <c r="C173" s="17" t="s">
        <v>474</v>
      </c>
      <c r="D173" s="18" t="s">
        <v>366</v>
      </c>
      <c r="E173" s="36">
        <v>298.66000000000003</v>
      </c>
      <c r="F173" s="142">
        <v>15</v>
      </c>
      <c r="G173" s="196">
        <f t="shared" si="19"/>
        <v>4479.9000000000005</v>
      </c>
      <c r="H173" s="192">
        <f t="shared" si="23"/>
        <v>1493.3000000000002</v>
      </c>
      <c r="I173" s="35"/>
      <c r="J173" s="35">
        <f t="shared" si="20"/>
        <v>5973.2000000000007</v>
      </c>
      <c r="K173" s="35">
        <v>377.38</v>
      </c>
      <c r="L173" s="35">
        <f>G173*1.1875%</f>
        <v>53.19881250000001</v>
      </c>
      <c r="M173" s="193"/>
      <c r="N173" s="35">
        <f>G173*1%</f>
        <v>44.799000000000007</v>
      </c>
      <c r="O173" s="35"/>
      <c r="P173" s="35">
        <f t="shared" si="21"/>
        <v>475.3778125</v>
      </c>
      <c r="Q173" s="193">
        <f t="shared" si="22"/>
        <v>5497.8221875000008</v>
      </c>
      <c r="R173" s="34"/>
    </row>
    <row r="174" spans="1:18" ht="70.7" customHeight="1" x14ac:dyDescent="0.25">
      <c r="A174" s="257"/>
      <c r="B174" s="244" t="s">
        <v>186</v>
      </c>
      <c r="C174" s="17" t="s">
        <v>64</v>
      </c>
      <c r="D174" s="18" t="s">
        <v>187</v>
      </c>
      <c r="E174" s="17">
        <v>423.02</v>
      </c>
      <c r="F174" s="142">
        <v>15</v>
      </c>
      <c r="G174" s="196">
        <f t="shared" si="19"/>
        <v>6345.2999999999993</v>
      </c>
      <c r="H174" s="192">
        <f t="shared" si="23"/>
        <v>2115.1</v>
      </c>
      <c r="I174" s="35"/>
      <c r="J174" s="35">
        <f t="shared" si="20"/>
        <v>8460.4</v>
      </c>
      <c r="K174" s="35">
        <v>717.18</v>
      </c>
      <c r="L174" s="35"/>
      <c r="M174" s="193"/>
      <c r="N174" s="35"/>
      <c r="O174" s="35">
        <f>G174*3%</f>
        <v>190.35899999999998</v>
      </c>
      <c r="P174" s="35">
        <f t="shared" si="21"/>
        <v>907.53899999999999</v>
      </c>
      <c r="Q174" s="193">
        <f t="shared" si="22"/>
        <v>7552.8609999999999</v>
      </c>
      <c r="R174" s="34"/>
    </row>
    <row r="175" spans="1:18" ht="70.7" customHeight="1" x14ac:dyDescent="0.25">
      <c r="A175" s="257"/>
      <c r="B175" s="268"/>
      <c r="C175" s="17" t="s">
        <v>159</v>
      </c>
      <c r="D175" s="18" t="s">
        <v>367</v>
      </c>
      <c r="E175" s="17">
        <v>271.06</v>
      </c>
      <c r="F175" s="142">
        <v>15</v>
      </c>
      <c r="G175" s="196">
        <f t="shared" si="19"/>
        <v>4065.9</v>
      </c>
      <c r="H175" s="192">
        <f t="shared" si="23"/>
        <v>1355.3</v>
      </c>
      <c r="I175" s="35"/>
      <c r="J175" s="35">
        <f t="shared" si="20"/>
        <v>5421.2</v>
      </c>
      <c r="K175" s="35">
        <v>320.97000000000003</v>
      </c>
      <c r="L175" s="35">
        <f>G175*1.1875%</f>
        <v>48.282562500000004</v>
      </c>
      <c r="M175" s="193"/>
      <c r="N175" s="35">
        <f>G175*1%</f>
        <v>40.658999999999999</v>
      </c>
      <c r="O175" s="35"/>
      <c r="P175" s="35">
        <f t="shared" si="21"/>
        <v>409.9115625</v>
      </c>
      <c r="Q175" s="193">
        <f t="shared" si="22"/>
        <v>5011.2884374999994</v>
      </c>
      <c r="R175" s="34"/>
    </row>
    <row r="176" spans="1:18" ht="70.7" customHeight="1" x14ac:dyDescent="0.25">
      <c r="A176" s="257"/>
      <c r="B176" s="268"/>
      <c r="C176" s="17" t="s">
        <v>408</v>
      </c>
      <c r="D176" s="18" t="s">
        <v>234</v>
      </c>
      <c r="E176" s="17">
        <v>290.52999999999997</v>
      </c>
      <c r="F176" s="142">
        <v>15</v>
      </c>
      <c r="G176" s="196">
        <f t="shared" si="19"/>
        <v>4357.95</v>
      </c>
      <c r="H176" s="192">
        <f t="shared" si="23"/>
        <v>1452.6499999999999</v>
      </c>
      <c r="I176" s="35"/>
      <c r="J176" s="35">
        <f t="shared" si="20"/>
        <v>5810.5999999999995</v>
      </c>
      <c r="K176" s="35">
        <v>357.86</v>
      </c>
      <c r="L176" s="35"/>
      <c r="M176" s="193"/>
      <c r="N176" s="35"/>
      <c r="O176" s="35"/>
      <c r="P176" s="35">
        <f t="shared" si="21"/>
        <v>357.86</v>
      </c>
      <c r="Q176" s="193">
        <f t="shared" si="22"/>
        <v>5452.74</v>
      </c>
      <c r="R176" s="34"/>
    </row>
    <row r="177" spans="1:18" ht="70.7" customHeight="1" x14ac:dyDescent="0.25">
      <c r="A177" s="257"/>
      <c r="B177" s="268"/>
      <c r="C177" s="17" t="s">
        <v>408</v>
      </c>
      <c r="D177" s="18" t="s">
        <v>217</v>
      </c>
      <c r="E177" s="17">
        <v>290.52999999999997</v>
      </c>
      <c r="F177" s="142">
        <v>15</v>
      </c>
      <c r="G177" s="196">
        <f t="shared" ref="G177:G184" si="25">E177*F177</f>
        <v>4357.95</v>
      </c>
      <c r="H177" s="192">
        <f t="shared" si="23"/>
        <v>1452.6499999999999</v>
      </c>
      <c r="I177" s="35"/>
      <c r="J177" s="35">
        <f t="shared" si="20"/>
        <v>5810.5999999999995</v>
      </c>
      <c r="K177" s="35">
        <v>357.86</v>
      </c>
      <c r="L177" s="35">
        <f>G177*1.1875%</f>
        <v>51.750656249999999</v>
      </c>
      <c r="M177" s="193"/>
      <c r="N177" s="35"/>
      <c r="O177" s="35"/>
      <c r="P177" s="35">
        <f t="shared" si="21"/>
        <v>409.61065625000003</v>
      </c>
      <c r="Q177" s="193">
        <f t="shared" si="22"/>
        <v>5400.9893437499995</v>
      </c>
      <c r="R177" s="34"/>
    </row>
    <row r="178" spans="1:18" ht="70.7" customHeight="1" x14ac:dyDescent="0.25">
      <c r="A178" s="257"/>
      <c r="B178" s="268"/>
      <c r="C178" s="17" t="s">
        <v>216</v>
      </c>
      <c r="D178" s="18" t="s">
        <v>218</v>
      </c>
      <c r="E178" s="17">
        <v>221.66</v>
      </c>
      <c r="F178" s="142">
        <v>15</v>
      </c>
      <c r="G178" s="196">
        <f t="shared" si="25"/>
        <v>3324.9</v>
      </c>
      <c r="H178" s="192">
        <f t="shared" si="23"/>
        <v>1108.3</v>
      </c>
      <c r="I178" s="35"/>
      <c r="J178" s="35">
        <f t="shared" si="20"/>
        <v>4433.2</v>
      </c>
      <c r="K178" s="35">
        <v>115.25</v>
      </c>
      <c r="L178" s="35"/>
      <c r="M178" s="193"/>
      <c r="N178" s="35"/>
      <c r="O178" s="35"/>
      <c r="P178" s="35">
        <f t="shared" si="21"/>
        <v>115.25</v>
      </c>
      <c r="Q178" s="194">
        <f t="shared" si="22"/>
        <v>4317.95</v>
      </c>
      <c r="R178" s="34"/>
    </row>
    <row r="179" spans="1:18" ht="70.7" customHeight="1" x14ac:dyDescent="0.25">
      <c r="A179" s="257"/>
      <c r="B179" s="268"/>
      <c r="C179" s="17" t="s">
        <v>319</v>
      </c>
      <c r="D179" s="18" t="s">
        <v>444</v>
      </c>
      <c r="E179" s="17">
        <v>198.78</v>
      </c>
      <c r="F179" s="142">
        <v>15</v>
      </c>
      <c r="G179" s="196">
        <f t="shared" si="25"/>
        <v>2981.7</v>
      </c>
      <c r="H179" s="192">
        <f t="shared" si="23"/>
        <v>993.9</v>
      </c>
      <c r="I179" s="35"/>
      <c r="J179" s="35">
        <f t="shared" si="20"/>
        <v>3975.6</v>
      </c>
      <c r="K179" s="35">
        <v>57.66</v>
      </c>
      <c r="L179" s="35">
        <f>G179*1.1875%</f>
        <v>35.407687500000002</v>
      </c>
      <c r="M179" s="193"/>
      <c r="N179" s="35">
        <f>G179*1%</f>
        <v>29.817</v>
      </c>
      <c r="O179" s="35"/>
      <c r="P179" s="35">
        <f t="shared" si="21"/>
        <v>122.88468750000001</v>
      </c>
      <c r="Q179" s="193">
        <f t="shared" si="22"/>
        <v>3852.7153125</v>
      </c>
      <c r="R179" s="34"/>
    </row>
    <row r="180" spans="1:18" ht="70.7" customHeight="1" x14ac:dyDescent="0.25">
      <c r="A180" s="257"/>
      <c r="B180" s="245"/>
      <c r="C180" s="17" t="s">
        <v>320</v>
      </c>
      <c r="D180" s="18" t="s">
        <v>318</v>
      </c>
      <c r="E180" s="39">
        <v>166.93</v>
      </c>
      <c r="F180" s="142">
        <v>15</v>
      </c>
      <c r="G180" s="196">
        <f t="shared" si="25"/>
        <v>2503.9500000000003</v>
      </c>
      <c r="H180" s="192">
        <f t="shared" si="23"/>
        <v>834.65000000000009</v>
      </c>
      <c r="I180" s="35">
        <v>9.32</v>
      </c>
      <c r="J180" s="35">
        <f t="shared" si="20"/>
        <v>3347.9200000000005</v>
      </c>
      <c r="K180" s="35"/>
      <c r="L180" s="35"/>
      <c r="M180" s="193"/>
      <c r="N180" s="35"/>
      <c r="O180" s="35"/>
      <c r="P180" s="35">
        <f t="shared" si="21"/>
        <v>0</v>
      </c>
      <c r="Q180" s="194">
        <f t="shared" si="22"/>
        <v>3347.9200000000005</v>
      </c>
      <c r="R180" s="34"/>
    </row>
    <row r="181" spans="1:18" ht="70.7" customHeight="1" x14ac:dyDescent="0.25">
      <c r="A181" s="257" t="s">
        <v>242</v>
      </c>
      <c r="B181" s="244" t="s">
        <v>186</v>
      </c>
      <c r="C181" s="17" t="s">
        <v>320</v>
      </c>
      <c r="D181" s="18" t="s">
        <v>316</v>
      </c>
      <c r="E181" s="39">
        <v>166.93</v>
      </c>
      <c r="F181" s="142">
        <v>15</v>
      </c>
      <c r="G181" s="196">
        <f t="shared" si="25"/>
        <v>2503.9500000000003</v>
      </c>
      <c r="H181" s="192">
        <f t="shared" si="23"/>
        <v>834.65000000000009</v>
      </c>
      <c r="I181" s="35">
        <v>9.32</v>
      </c>
      <c r="J181" s="35">
        <f t="shared" si="20"/>
        <v>3347.9200000000005</v>
      </c>
      <c r="K181" s="35"/>
      <c r="L181" s="35">
        <f>G181*1.1875%</f>
        <v>29.734406250000003</v>
      </c>
      <c r="M181" s="193"/>
      <c r="N181" s="35">
        <f>G181*1%</f>
        <v>25.039500000000004</v>
      </c>
      <c r="O181" s="35"/>
      <c r="P181" s="35">
        <f t="shared" si="21"/>
        <v>54.77390625000001</v>
      </c>
      <c r="Q181" s="193">
        <f t="shared" si="22"/>
        <v>3293.1460937500005</v>
      </c>
      <c r="R181" s="34"/>
    </row>
    <row r="182" spans="1:18" ht="70.7" customHeight="1" x14ac:dyDescent="0.25">
      <c r="A182" s="257"/>
      <c r="B182" s="268"/>
      <c r="C182" s="17" t="s">
        <v>320</v>
      </c>
      <c r="D182" s="39" t="s">
        <v>334</v>
      </c>
      <c r="E182" s="17">
        <v>166.93</v>
      </c>
      <c r="F182" s="142">
        <v>15</v>
      </c>
      <c r="G182" s="196">
        <f t="shared" si="25"/>
        <v>2503.9500000000003</v>
      </c>
      <c r="H182" s="192">
        <f t="shared" si="23"/>
        <v>834.65000000000009</v>
      </c>
      <c r="I182" s="35">
        <v>9.32</v>
      </c>
      <c r="J182" s="35">
        <f t="shared" si="20"/>
        <v>3347.9200000000005</v>
      </c>
      <c r="K182" s="35"/>
      <c r="L182" s="35"/>
      <c r="M182" s="193"/>
      <c r="N182" s="35"/>
      <c r="O182" s="35"/>
      <c r="P182" s="35">
        <f t="shared" si="21"/>
        <v>0</v>
      </c>
      <c r="Q182" s="193">
        <f t="shared" si="22"/>
        <v>3347.9200000000005</v>
      </c>
      <c r="R182" s="34"/>
    </row>
    <row r="183" spans="1:18" ht="70.7" customHeight="1" x14ac:dyDescent="0.25">
      <c r="A183" s="257"/>
      <c r="B183" s="268"/>
      <c r="C183" s="17" t="s">
        <v>320</v>
      </c>
      <c r="D183" s="18" t="s">
        <v>440</v>
      </c>
      <c r="E183" s="17">
        <v>166.93</v>
      </c>
      <c r="F183" s="142"/>
      <c r="G183" s="196">
        <f t="shared" si="25"/>
        <v>0</v>
      </c>
      <c r="H183" s="192"/>
      <c r="I183" s="35"/>
      <c r="J183" s="35">
        <f t="shared" si="20"/>
        <v>0</v>
      </c>
      <c r="K183" s="35"/>
      <c r="L183" s="35"/>
      <c r="M183" s="193"/>
      <c r="N183" s="35">
        <f>G183*1%</f>
        <v>0</v>
      </c>
      <c r="O183" s="35"/>
      <c r="P183" s="35">
        <f t="shared" si="21"/>
        <v>0</v>
      </c>
      <c r="Q183" s="193">
        <f t="shared" si="22"/>
        <v>0</v>
      </c>
      <c r="R183" s="34"/>
    </row>
    <row r="184" spans="1:18" ht="70.7" customHeight="1" x14ac:dyDescent="0.25">
      <c r="A184" s="257"/>
      <c r="B184" s="268"/>
      <c r="C184" s="17" t="s">
        <v>368</v>
      </c>
      <c r="D184" s="18" t="s">
        <v>322</v>
      </c>
      <c r="E184" s="17">
        <v>144.08000000000001</v>
      </c>
      <c r="F184" s="142">
        <v>15</v>
      </c>
      <c r="G184" s="196">
        <f t="shared" si="25"/>
        <v>2161.2000000000003</v>
      </c>
      <c r="H184" s="192">
        <f t="shared" si="23"/>
        <v>720.40000000000009</v>
      </c>
      <c r="I184" s="35">
        <v>49.26</v>
      </c>
      <c r="J184" s="35">
        <f t="shared" si="20"/>
        <v>2930.8600000000006</v>
      </c>
      <c r="K184" s="35"/>
      <c r="L184" s="35"/>
      <c r="M184" s="193"/>
      <c r="N184" s="35"/>
      <c r="O184" s="35"/>
      <c r="P184" s="35">
        <f t="shared" si="21"/>
        <v>0</v>
      </c>
      <c r="Q184" s="193">
        <f t="shared" si="22"/>
        <v>2930.8600000000006</v>
      </c>
      <c r="R184" s="34"/>
    </row>
    <row r="185" spans="1:18" ht="70.7" customHeight="1" x14ac:dyDescent="0.25">
      <c r="A185" s="257"/>
      <c r="B185" s="268"/>
      <c r="C185" s="17" t="s">
        <v>96</v>
      </c>
      <c r="D185" s="18" t="s">
        <v>328</v>
      </c>
      <c r="E185" s="17">
        <v>219.32</v>
      </c>
      <c r="F185" s="142">
        <v>15</v>
      </c>
      <c r="G185" s="196">
        <f t="shared" ref="G185:G198" si="26">E185*F185</f>
        <v>3289.7999999999997</v>
      </c>
      <c r="H185" s="192">
        <f t="shared" si="23"/>
        <v>1096.5999999999999</v>
      </c>
      <c r="I185" s="35"/>
      <c r="J185" s="35">
        <f t="shared" si="20"/>
        <v>4386.3999999999996</v>
      </c>
      <c r="K185" s="35">
        <v>111.43</v>
      </c>
      <c r="L185" s="35">
        <f>G185*1.1875%</f>
        <v>39.066375000000001</v>
      </c>
      <c r="M185" s="193"/>
      <c r="N185" s="35">
        <f t="shared" ref="N185:N190" si="27">G185*1%</f>
        <v>32.897999999999996</v>
      </c>
      <c r="O185" s="35"/>
      <c r="P185" s="35">
        <f t="shared" si="21"/>
        <v>183.394375</v>
      </c>
      <c r="Q185" s="193">
        <f t="shared" si="22"/>
        <v>4203.0056249999998</v>
      </c>
      <c r="R185" s="34"/>
    </row>
    <row r="186" spans="1:18" ht="70.7" customHeight="1" x14ac:dyDescent="0.25">
      <c r="A186" s="257"/>
      <c r="B186" s="268"/>
      <c r="C186" s="17" t="s">
        <v>97</v>
      </c>
      <c r="D186" s="18" t="s">
        <v>183</v>
      </c>
      <c r="E186" s="17">
        <v>210.12</v>
      </c>
      <c r="F186" s="142">
        <v>15</v>
      </c>
      <c r="G186" s="196">
        <f t="shared" si="26"/>
        <v>3151.8</v>
      </c>
      <c r="H186" s="192">
        <f t="shared" si="23"/>
        <v>1050.5999999999999</v>
      </c>
      <c r="I186" s="35"/>
      <c r="J186" s="35">
        <f t="shared" si="20"/>
        <v>4202.3999999999996</v>
      </c>
      <c r="K186" s="35">
        <v>96.41</v>
      </c>
      <c r="L186" s="35">
        <f>G186*1.1875%</f>
        <v>37.427625000000006</v>
      </c>
      <c r="M186" s="193"/>
      <c r="N186" s="35">
        <f t="shared" si="27"/>
        <v>31.518000000000004</v>
      </c>
      <c r="O186" s="35"/>
      <c r="P186" s="35">
        <f t="shared" si="21"/>
        <v>165.355625</v>
      </c>
      <c r="Q186" s="193">
        <f t="shared" si="22"/>
        <v>4037.0443749999995</v>
      </c>
      <c r="R186" s="34"/>
    </row>
    <row r="187" spans="1:18" ht="70.7" customHeight="1" x14ac:dyDescent="0.25">
      <c r="A187" s="257"/>
      <c r="B187" s="268"/>
      <c r="C187" s="17" t="s">
        <v>97</v>
      </c>
      <c r="D187" s="18" t="s">
        <v>445</v>
      </c>
      <c r="E187" s="17">
        <v>210.12</v>
      </c>
      <c r="F187" s="142">
        <v>15</v>
      </c>
      <c r="G187" s="196">
        <f t="shared" si="26"/>
        <v>3151.8</v>
      </c>
      <c r="H187" s="192">
        <f t="shared" si="23"/>
        <v>1050.5999999999999</v>
      </c>
      <c r="I187" s="35"/>
      <c r="J187" s="35">
        <f t="shared" si="20"/>
        <v>4202.3999999999996</v>
      </c>
      <c r="K187" s="35">
        <v>96.41</v>
      </c>
      <c r="L187" s="35"/>
      <c r="M187" s="193">
        <v>833.3</v>
      </c>
      <c r="N187" s="35">
        <f t="shared" si="27"/>
        <v>31.518000000000004</v>
      </c>
      <c r="O187" s="35"/>
      <c r="P187" s="35">
        <f t="shared" si="21"/>
        <v>961.22799999999995</v>
      </c>
      <c r="Q187" s="193">
        <f t="shared" si="22"/>
        <v>3241.1719999999996</v>
      </c>
      <c r="R187" s="34"/>
    </row>
    <row r="188" spans="1:18" ht="70.7" customHeight="1" x14ac:dyDescent="0.25">
      <c r="A188" s="257"/>
      <c r="B188" s="268"/>
      <c r="C188" s="17" t="s">
        <v>97</v>
      </c>
      <c r="D188" s="18" t="s">
        <v>329</v>
      </c>
      <c r="E188" s="17">
        <v>210.12</v>
      </c>
      <c r="F188" s="142">
        <v>15</v>
      </c>
      <c r="G188" s="196">
        <f t="shared" si="26"/>
        <v>3151.8</v>
      </c>
      <c r="H188" s="192">
        <f t="shared" si="23"/>
        <v>1050.5999999999999</v>
      </c>
      <c r="I188" s="35"/>
      <c r="J188" s="35">
        <f t="shared" si="20"/>
        <v>4202.3999999999996</v>
      </c>
      <c r="K188" s="35">
        <v>96.41</v>
      </c>
      <c r="L188" s="35">
        <f>G188*1.1875%</f>
        <v>37.427625000000006</v>
      </c>
      <c r="M188" s="193"/>
      <c r="N188" s="35">
        <f t="shared" si="27"/>
        <v>31.518000000000004</v>
      </c>
      <c r="O188" s="35"/>
      <c r="P188" s="35">
        <f t="shared" si="21"/>
        <v>165.355625</v>
      </c>
      <c r="Q188" s="193">
        <f t="shared" si="22"/>
        <v>4037.0443749999995</v>
      </c>
      <c r="R188" s="34"/>
    </row>
    <row r="189" spans="1:18" ht="70.7" customHeight="1" x14ac:dyDescent="0.25">
      <c r="A189" s="257"/>
      <c r="B189" s="268"/>
      <c r="C189" s="17" t="s">
        <v>97</v>
      </c>
      <c r="D189" s="18" t="s">
        <v>330</v>
      </c>
      <c r="E189" s="17">
        <v>210.12</v>
      </c>
      <c r="F189" s="142">
        <v>15</v>
      </c>
      <c r="G189" s="196">
        <f t="shared" si="26"/>
        <v>3151.8</v>
      </c>
      <c r="H189" s="192">
        <f t="shared" si="23"/>
        <v>1050.5999999999999</v>
      </c>
      <c r="I189" s="35"/>
      <c r="J189" s="35">
        <f t="shared" si="20"/>
        <v>4202.3999999999996</v>
      </c>
      <c r="K189" s="35">
        <v>96.41</v>
      </c>
      <c r="L189" s="35">
        <f>G189*1.1875%</f>
        <v>37.427625000000006</v>
      </c>
      <c r="M189" s="193"/>
      <c r="N189" s="35">
        <f t="shared" si="27"/>
        <v>31.518000000000004</v>
      </c>
      <c r="O189" s="35"/>
      <c r="P189" s="35">
        <f t="shared" si="21"/>
        <v>165.355625</v>
      </c>
      <c r="Q189" s="193">
        <f t="shared" si="22"/>
        <v>4037.0443749999995</v>
      </c>
      <c r="R189" s="34"/>
    </row>
    <row r="190" spans="1:18" ht="70.7" customHeight="1" x14ac:dyDescent="0.25">
      <c r="A190" s="257"/>
      <c r="B190" s="268"/>
      <c r="C190" s="17" t="s">
        <v>383</v>
      </c>
      <c r="D190" s="18" t="s">
        <v>443</v>
      </c>
      <c r="E190" s="17">
        <v>174.01</v>
      </c>
      <c r="F190" s="142">
        <v>15</v>
      </c>
      <c r="G190" s="196">
        <f t="shared" si="26"/>
        <v>2610.1499999999996</v>
      </c>
      <c r="H190" s="192">
        <f t="shared" si="23"/>
        <v>870.05</v>
      </c>
      <c r="I190" s="35"/>
      <c r="J190" s="35">
        <f t="shared" si="20"/>
        <v>3480.2</v>
      </c>
      <c r="K190" s="35">
        <v>2.23</v>
      </c>
      <c r="L190" s="35">
        <f>G190*1.1875%</f>
        <v>30.995531249999996</v>
      </c>
      <c r="M190" s="193">
        <v>333.3</v>
      </c>
      <c r="N190" s="35">
        <f t="shared" si="27"/>
        <v>26.101499999999998</v>
      </c>
      <c r="O190" s="35"/>
      <c r="P190" s="35">
        <f t="shared" si="21"/>
        <v>392.62703125000002</v>
      </c>
      <c r="Q190" s="193">
        <f t="shared" si="22"/>
        <v>3087.5729687499997</v>
      </c>
      <c r="R190" s="34"/>
    </row>
    <row r="191" spans="1:18" ht="70.7" customHeight="1" x14ac:dyDescent="0.25">
      <c r="A191" s="257"/>
      <c r="B191" s="268"/>
      <c r="C191" s="39" t="s">
        <v>369</v>
      </c>
      <c r="D191" s="39" t="s">
        <v>335</v>
      </c>
      <c r="E191" s="39">
        <v>172.91</v>
      </c>
      <c r="F191" s="142">
        <v>15</v>
      </c>
      <c r="G191" s="196">
        <f t="shared" si="26"/>
        <v>2593.65</v>
      </c>
      <c r="H191" s="192">
        <f t="shared" si="23"/>
        <v>864.55</v>
      </c>
      <c r="I191" s="35"/>
      <c r="J191" s="35">
        <f t="shared" si="20"/>
        <v>3458.2</v>
      </c>
      <c r="K191" s="35">
        <v>0.44</v>
      </c>
      <c r="L191" s="35">
        <f>G191*1.1875%</f>
        <v>30.799593750000003</v>
      </c>
      <c r="M191" s="193"/>
      <c r="N191" s="35"/>
      <c r="O191" s="35"/>
      <c r="P191" s="35">
        <f t="shared" si="21"/>
        <v>31.239593750000004</v>
      </c>
      <c r="Q191" s="193">
        <f t="shared" si="22"/>
        <v>3426.9604062499998</v>
      </c>
      <c r="R191" s="34"/>
    </row>
    <row r="192" spans="1:18" ht="70.7" customHeight="1" x14ac:dyDescent="0.25">
      <c r="A192" s="257"/>
      <c r="B192" s="268"/>
      <c r="C192" s="316" t="s">
        <v>336</v>
      </c>
      <c r="D192" s="39" t="s">
        <v>370</v>
      </c>
      <c r="E192" s="39">
        <v>198.78</v>
      </c>
      <c r="F192" s="142">
        <v>15</v>
      </c>
      <c r="G192" s="196">
        <f t="shared" si="26"/>
        <v>2981.7</v>
      </c>
      <c r="H192" s="192">
        <f t="shared" si="23"/>
        <v>993.9</v>
      </c>
      <c r="I192" s="35"/>
      <c r="J192" s="35">
        <f t="shared" si="20"/>
        <v>3975.6</v>
      </c>
      <c r="K192" s="35">
        <v>57.66</v>
      </c>
      <c r="L192" s="35">
        <f>G192*1.1875%</f>
        <v>35.407687500000002</v>
      </c>
      <c r="M192" s="193">
        <v>625</v>
      </c>
      <c r="N192" s="35">
        <f>G192*1%</f>
        <v>29.817</v>
      </c>
      <c r="O192" s="35"/>
      <c r="P192" s="35">
        <f t="shared" si="21"/>
        <v>747.88468750000004</v>
      </c>
      <c r="Q192" s="193">
        <f t="shared" si="22"/>
        <v>3227.7153125</v>
      </c>
      <c r="R192" s="34"/>
    </row>
    <row r="193" spans="1:18" ht="70.7" customHeight="1" x14ac:dyDescent="0.25">
      <c r="A193" s="257"/>
      <c r="B193" s="268"/>
      <c r="C193" s="317"/>
      <c r="D193" s="39" t="s">
        <v>409</v>
      </c>
      <c r="E193" s="39">
        <v>172.91</v>
      </c>
      <c r="F193" s="142">
        <v>15</v>
      </c>
      <c r="G193" s="196">
        <f t="shared" si="26"/>
        <v>2593.65</v>
      </c>
      <c r="H193" s="192">
        <f t="shared" si="23"/>
        <v>864.55</v>
      </c>
      <c r="I193" s="35"/>
      <c r="J193" s="35">
        <f t="shared" si="20"/>
        <v>3458.2</v>
      </c>
      <c r="K193" s="35">
        <v>0.44</v>
      </c>
      <c r="L193" s="35"/>
      <c r="M193" s="193"/>
      <c r="N193" s="35"/>
      <c r="O193" s="35"/>
      <c r="P193" s="35">
        <f t="shared" si="21"/>
        <v>0.44</v>
      </c>
      <c r="Q193" s="193">
        <f t="shared" si="22"/>
        <v>3457.7599999999998</v>
      </c>
      <c r="R193" s="34"/>
    </row>
    <row r="194" spans="1:18" ht="70.7" customHeight="1" x14ac:dyDescent="0.25">
      <c r="A194" s="257"/>
      <c r="B194" s="268"/>
      <c r="C194" s="42" t="s">
        <v>375</v>
      </c>
      <c r="D194" s="39" t="s">
        <v>376</v>
      </c>
      <c r="E194" s="39">
        <v>146</v>
      </c>
      <c r="F194" s="142">
        <v>15</v>
      </c>
      <c r="G194" s="196">
        <f t="shared" si="26"/>
        <v>2190</v>
      </c>
      <c r="H194" s="192">
        <f t="shared" si="23"/>
        <v>730</v>
      </c>
      <c r="I194" s="35">
        <v>47.41</v>
      </c>
      <c r="J194" s="35">
        <f t="shared" si="20"/>
        <v>2967.41</v>
      </c>
      <c r="K194" s="35"/>
      <c r="L194" s="35"/>
      <c r="M194" s="193"/>
      <c r="N194" s="35"/>
      <c r="O194" s="35"/>
      <c r="P194" s="35">
        <f t="shared" si="21"/>
        <v>0</v>
      </c>
      <c r="Q194" s="193">
        <f t="shared" si="22"/>
        <v>2967.41</v>
      </c>
      <c r="R194" s="34"/>
    </row>
    <row r="195" spans="1:18" ht="70.7" customHeight="1" x14ac:dyDescent="0.25">
      <c r="A195" s="257"/>
      <c r="B195" s="268"/>
      <c r="C195" s="39" t="s">
        <v>333</v>
      </c>
      <c r="D195" s="39" t="s">
        <v>332</v>
      </c>
      <c r="E195" s="39">
        <v>131.66999999999999</v>
      </c>
      <c r="F195" s="142">
        <v>15</v>
      </c>
      <c r="G195" s="196">
        <f t="shared" si="26"/>
        <v>1975.0499999999997</v>
      </c>
      <c r="H195" s="192">
        <f t="shared" si="23"/>
        <v>658.34999999999991</v>
      </c>
      <c r="I195" s="35">
        <v>61.17</v>
      </c>
      <c r="J195" s="35">
        <f t="shared" si="20"/>
        <v>2694.5699999999997</v>
      </c>
      <c r="K195" s="35"/>
      <c r="L195" s="35"/>
      <c r="M195" s="193"/>
      <c r="N195" s="35"/>
      <c r="O195" s="35"/>
      <c r="P195" s="35">
        <f t="shared" si="21"/>
        <v>0</v>
      </c>
      <c r="Q195" s="193">
        <f t="shared" si="22"/>
        <v>2694.5699999999997</v>
      </c>
      <c r="R195" s="34"/>
    </row>
    <row r="196" spans="1:18" ht="70.7" customHeight="1" x14ac:dyDescent="0.25">
      <c r="A196" s="257"/>
      <c r="B196" s="268"/>
      <c r="C196" s="39" t="s">
        <v>333</v>
      </c>
      <c r="D196" s="39" t="s">
        <v>492</v>
      </c>
      <c r="E196" s="39">
        <v>131.66999999999999</v>
      </c>
      <c r="F196" s="142">
        <v>15</v>
      </c>
      <c r="G196" s="196">
        <f t="shared" si="26"/>
        <v>1975.0499999999997</v>
      </c>
      <c r="H196" s="192">
        <f t="shared" si="23"/>
        <v>658.34999999999991</v>
      </c>
      <c r="I196" s="35">
        <v>61.17</v>
      </c>
      <c r="J196" s="35">
        <f t="shared" si="20"/>
        <v>2694.5699999999997</v>
      </c>
      <c r="K196" s="35"/>
      <c r="L196" s="35"/>
      <c r="M196" s="193"/>
      <c r="N196" s="35"/>
      <c r="O196" s="35"/>
      <c r="P196" s="35">
        <f t="shared" si="21"/>
        <v>0</v>
      </c>
      <c r="Q196" s="194">
        <f t="shared" si="22"/>
        <v>2694.5699999999997</v>
      </c>
      <c r="R196" s="34"/>
    </row>
    <row r="197" spans="1:18" ht="70.7" customHeight="1" x14ac:dyDescent="0.25">
      <c r="A197" s="257"/>
      <c r="B197" s="268"/>
      <c r="C197" s="39" t="s">
        <v>337</v>
      </c>
      <c r="D197" s="39" t="s">
        <v>338</v>
      </c>
      <c r="E197" s="39">
        <v>108.18</v>
      </c>
      <c r="F197" s="142">
        <v>15</v>
      </c>
      <c r="G197" s="196">
        <f t="shared" si="26"/>
        <v>1622.7</v>
      </c>
      <c r="H197" s="192">
        <f t="shared" si="23"/>
        <v>540.90000000000009</v>
      </c>
      <c r="I197" s="35">
        <v>109.57</v>
      </c>
      <c r="J197" s="35">
        <f t="shared" si="20"/>
        <v>2273.17</v>
      </c>
      <c r="K197" s="35"/>
      <c r="L197" s="35"/>
      <c r="M197" s="193"/>
      <c r="N197" s="35"/>
      <c r="O197" s="35"/>
      <c r="P197" s="35">
        <f t="shared" si="21"/>
        <v>0</v>
      </c>
      <c r="Q197" s="193">
        <f t="shared" si="22"/>
        <v>2273.17</v>
      </c>
      <c r="R197" s="34"/>
    </row>
    <row r="198" spans="1:18" ht="70.7" customHeight="1" x14ac:dyDescent="0.25">
      <c r="A198" s="257"/>
      <c r="B198" s="245"/>
      <c r="C198" s="39" t="s">
        <v>339</v>
      </c>
      <c r="D198" s="39" t="s">
        <v>340</v>
      </c>
      <c r="E198" s="39">
        <v>146</v>
      </c>
      <c r="F198" s="142">
        <v>15</v>
      </c>
      <c r="G198" s="196">
        <f t="shared" si="26"/>
        <v>2190</v>
      </c>
      <c r="H198" s="192">
        <f t="shared" si="23"/>
        <v>730</v>
      </c>
      <c r="I198" s="35">
        <v>47.41</v>
      </c>
      <c r="J198" s="35">
        <f t="shared" si="20"/>
        <v>2967.41</v>
      </c>
      <c r="K198" s="35"/>
      <c r="L198" s="35"/>
      <c r="M198" s="193"/>
      <c r="N198" s="35"/>
      <c r="O198" s="35"/>
      <c r="P198" s="35">
        <f t="shared" si="21"/>
        <v>0</v>
      </c>
      <c r="Q198" s="194">
        <f t="shared" si="22"/>
        <v>2967.41</v>
      </c>
      <c r="R198" s="34"/>
    </row>
    <row r="199" spans="1:18" ht="70.7" customHeight="1" x14ac:dyDescent="0.25">
      <c r="A199" s="251" t="s">
        <v>242</v>
      </c>
      <c r="B199" s="244" t="s">
        <v>192</v>
      </c>
      <c r="C199" s="17" t="s">
        <v>37</v>
      </c>
      <c r="D199" s="18" t="s">
        <v>193</v>
      </c>
      <c r="E199" s="17">
        <v>400</v>
      </c>
      <c r="F199" s="142">
        <v>15</v>
      </c>
      <c r="G199" s="196">
        <f t="shared" ref="G199:G213" si="28">E199*F199</f>
        <v>6000</v>
      </c>
      <c r="H199" s="192">
        <f t="shared" si="23"/>
        <v>2000</v>
      </c>
      <c r="I199" s="35"/>
      <c r="J199" s="35">
        <f t="shared" si="20"/>
        <v>8000</v>
      </c>
      <c r="K199" s="35">
        <v>643.42999999999995</v>
      </c>
      <c r="L199" s="35"/>
      <c r="M199" s="193"/>
      <c r="N199" s="35"/>
      <c r="O199" s="35">
        <f>G199*3%</f>
        <v>180</v>
      </c>
      <c r="P199" s="35">
        <f t="shared" si="21"/>
        <v>823.43</v>
      </c>
      <c r="Q199" s="193">
        <f t="shared" si="22"/>
        <v>7176.57</v>
      </c>
      <c r="R199" s="34"/>
    </row>
    <row r="200" spans="1:18" ht="70.7" customHeight="1" x14ac:dyDescent="0.25">
      <c r="A200" s="251"/>
      <c r="B200" s="268"/>
      <c r="C200" s="17" t="s">
        <v>159</v>
      </c>
      <c r="D200" s="18" t="s">
        <v>194</v>
      </c>
      <c r="E200" s="17">
        <v>273.02999999999997</v>
      </c>
      <c r="F200" s="142">
        <v>15</v>
      </c>
      <c r="G200" s="196">
        <f t="shared" si="28"/>
        <v>4095.45</v>
      </c>
      <c r="H200" s="192">
        <f t="shared" si="23"/>
        <v>1365.1499999999999</v>
      </c>
      <c r="I200" s="35"/>
      <c r="J200" s="35">
        <f t="shared" si="20"/>
        <v>5460.5999999999995</v>
      </c>
      <c r="K200" s="35">
        <v>324.18</v>
      </c>
      <c r="L200" s="35"/>
      <c r="M200" s="193"/>
      <c r="N200" s="35"/>
      <c r="O200" s="35"/>
      <c r="P200" s="35">
        <f t="shared" si="21"/>
        <v>324.18</v>
      </c>
      <c r="Q200" s="193">
        <f t="shared" si="22"/>
        <v>5136.4199999999992</v>
      </c>
      <c r="R200" s="34"/>
    </row>
    <row r="201" spans="1:18" ht="70.7" customHeight="1" x14ac:dyDescent="0.25">
      <c r="A201" s="251"/>
      <c r="B201" s="268"/>
      <c r="C201" s="318" t="s">
        <v>82</v>
      </c>
      <c r="D201" s="18" t="s">
        <v>195</v>
      </c>
      <c r="E201" s="17">
        <v>178.85</v>
      </c>
      <c r="F201" s="142">
        <v>15</v>
      </c>
      <c r="G201" s="196">
        <f t="shared" si="28"/>
        <v>2682.75</v>
      </c>
      <c r="H201" s="192">
        <f t="shared" si="23"/>
        <v>894.25</v>
      </c>
      <c r="I201" s="35"/>
      <c r="J201" s="35">
        <f t="shared" si="20"/>
        <v>3577</v>
      </c>
      <c r="K201" s="35">
        <v>25.13</v>
      </c>
      <c r="L201" s="35"/>
      <c r="M201" s="193"/>
      <c r="N201" s="35"/>
      <c r="O201" s="35"/>
      <c r="P201" s="35">
        <f t="shared" si="21"/>
        <v>25.13</v>
      </c>
      <c r="Q201" s="193">
        <f t="shared" si="22"/>
        <v>3551.87</v>
      </c>
      <c r="R201" s="34"/>
    </row>
    <row r="202" spans="1:18" ht="70.7" customHeight="1" x14ac:dyDescent="0.25">
      <c r="A202" s="251"/>
      <c r="B202" s="268"/>
      <c r="C202" s="319"/>
      <c r="D202" s="18" t="s">
        <v>196</v>
      </c>
      <c r="E202" s="17">
        <v>178.85</v>
      </c>
      <c r="F202" s="142">
        <v>15</v>
      </c>
      <c r="G202" s="196">
        <f t="shared" si="28"/>
        <v>2682.75</v>
      </c>
      <c r="H202" s="192">
        <f t="shared" si="23"/>
        <v>894.25</v>
      </c>
      <c r="I202" s="35"/>
      <c r="J202" s="35">
        <f t="shared" si="20"/>
        <v>3577</v>
      </c>
      <c r="K202" s="35">
        <v>25.13</v>
      </c>
      <c r="L202" s="35">
        <f>G202*1.1875%</f>
        <v>31.857656250000002</v>
      </c>
      <c r="M202" s="193"/>
      <c r="N202" s="35"/>
      <c r="O202" s="35"/>
      <c r="P202" s="35">
        <f t="shared" si="21"/>
        <v>56.987656250000001</v>
      </c>
      <c r="Q202" s="193">
        <f t="shared" si="22"/>
        <v>3520.0123437500001</v>
      </c>
      <c r="R202" s="34"/>
    </row>
    <row r="203" spans="1:18" ht="70.7" customHeight="1" x14ac:dyDescent="0.25">
      <c r="A203" s="251"/>
      <c r="B203" s="268"/>
      <c r="C203" s="319"/>
      <c r="D203" s="18" t="s">
        <v>197</v>
      </c>
      <c r="E203" s="17">
        <v>178.85</v>
      </c>
      <c r="F203" s="142">
        <v>15</v>
      </c>
      <c r="G203" s="196">
        <f t="shared" si="28"/>
        <v>2682.75</v>
      </c>
      <c r="H203" s="192">
        <f t="shared" si="23"/>
        <v>894.25</v>
      </c>
      <c r="I203" s="35"/>
      <c r="J203" s="35">
        <f t="shared" si="20"/>
        <v>3577</v>
      </c>
      <c r="K203" s="35">
        <v>25.13</v>
      </c>
      <c r="L203" s="35"/>
      <c r="M203" s="193"/>
      <c r="N203" s="35"/>
      <c r="O203" s="35"/>
      <c r="P203" s="35">
        <f t="shared" si="21"/>
        <v>25.13</v>
      </c>
      <c r="Q203" s="194">
        <f t="shared" si="22"/>
        <v>3551.87</v>
      </c>
      <c r="R203" s="34"/>
    </row>
    <row r="204" spans="1:18" ht="70.7" customHeight="1" x14ac:dyDescent="0.25">
      <c r="A204" s="251"/>
      <c r="B204" s="268"/>
      <c r="C204" s="319"/>
      <c r="D204" s="18" t="s">
        <v>440</v>
      </c>
      <c r="E204" s="17">
        <v>178.85</v>
      </c>
      <c r="F204" s="142"/>
      <c r="G204" s="196">
        <f t="shared" si="28"/>
        <v>0</v>
      </c>
      <c r="H204" s="192"/>
      <c r="I204" s="35"/>
      <c r="J204" s="35">
        <f t="shared" si="20"/>
        <v>0</v>
      </c>
      <c r="K204" s="35"/>
      <c r="L204" s="35"/>
      <c r="M204" s="193"/>
      <c r="N204" s="35"/>
      <c r="O204" s="35"/>
      <c r="P204" s="35">
        <f t="shared" si="21"/>
        <v>0</v>
      </c>
      <c r="Q204" s="194">
        <f t="shared" si="22"/>
        <v>0</v>
      </c>
      <c r="R204" s="34"/>
    </row>
    <row r="205" spans="1:18" ht="70.7" customHeight="1" x14ac:dyDescent="0.25">
      <c r="A205" s="251"/>
      <c r="B205" s="268"/>
      <c r="C205" s="320"/>
      <c r="D205" s="18" t="s">
        <v>199</v>
      </c>
      <c r="E205" s="17">
        <v>178.85</v>
      </c>
      <c r="F205" s="142">
        <v>15</v>
      </c>
      <c r="G205" s="196">
        <f t="shared" si="28"/>
        <v>2682.75</v>
      </c>
      <c r="H205" s="192">
        <f t="shared" si="23"/>
        <v>894.25</v>
      </c>
      <c r="I205" s="35"/>
      <c r="J205" s="35">
        <f t="shared" si="20"/>
        <v>3577</v>
      </c>
      <c r="K205" s="35">
        <v>25.13</v>
      </c>
      <c r="L205" s="35"/>
      <c r="M205" s="193"/>
      <c r="N205" s="35"/>
      <c r="O205" s="35"/>
      <c r="P205" s="35">
        <f t="shared" si="21"/>
        <v>25.13</v>
      </c>
      <c r="Q205" s="193">
        <f t="shared" si="22"/>
        <v>3551.87</v>
      </c>
      <c r="R205" s="34"/>
    </row>
    <row r="206" spans="1:18" ht="70.7" customHeight="1" x14ac:dyDescent="0.25">
      <c r="A206" s="251"/>
      <c r="B206" s="268"/>
      <c r="C206" s="69" t="s">
        <v>82</v>
      </c>
      <c r="D206" s="18" t="s">
        <v>440</v>
      </c>
      <c r="E206" s="17">
        <v>178.85</v>
      </c>
      <c r="F206" s="142"/>
      <c r="G206" s="196">
        <f t="shared" si="28"/>
        <v>0</v>
      </c>
      <c r="H206" s="192"/>
      <c r="I206" s="35"/>
      <c r="J206" s="35">
        <f t="shared" si="20"/>
        <v>0</v>
      </c>
      <c r="K206" s="35"/>
      <c r="L206" s="35"/>
      <c r="M206" s="193"/>
      <c r="N206" s="35"/>
      <c r="O206" s="35"/>
      <c r="P206" s="35">
        <f t="shared" si="21"/>
        <v>0</v>
      </c>
      <c r="Q206" s="193">
        <f t="shared" si="22"/>
        <v>0</v>
      </c>
      <c r="R206" s="34"/>
    </row>
    <row r="207" spans="1:18" ht="70.7" customHeight="1" x14ac:dyDescent="0.25">
      <c r="A207" s="251"/>
      <c r="B207" s="245"/>
      <c r="C207" s="12" t="s">
        <v>204</v>
      </c>
      <c r="D207" s="18" t="s">
        <v>205</v>
      </c>
      <c r="E207" s="17">
        <v>178.85</v>
      </c>
      <c r="F207" s="142">
        <v>15</v>
      </c>
      <c r="G207" s="196">
        <f t="shared" si="28"/>
        <v>2682.75</v>
      </c>
      <c r="H207" s="192">
        <f t="shared" si="23"/>
        <v>894.25</v>
      </c>
      <c r="I207" s="35"/>
      <c r="J207" s="35">
        <f t="shared" si="20"/>
        <v>3577</v>
      </c>
      <c r="K207" s="35">
        <v>25.13</v>
      </c>
      <c r="L207" s="35"/>
      <c r="M207" s="193"/>
      <c r="N207" s="35"/>
      <c r="O207" s="35"/>
      <c r="P207" s="35">
        <f t="shared" si="21"/>
        <v>25.13</v>
      </c>
      <c r="Q207" s="194">
        <f t="shared" si="22"/>
        <v>3551.87</v>
      </c>
      <c r="R207" s="34"/>
    </row>
    <row r="208" spans="1:18" ht="70.7" customHeight="1" x14ac:dyDescent="0.25">
      <c r="A208" s="251"/>
      <c r="B208" s="275" t="s">
        <v>200</v>
      </c>
      <c r="C208" s="17" t="s">
        <v>64</v>
      </c>
      <c r="D208" s="18" t="s">
        <v>202</v>
      </c>
      <c r="E208" s="17">
        <v>358.8</v>
      </c>
      <c r="F208" s="142">
        <v>15</v>
      </c>
      <c r="G208" s="196">
        <f t="shared" si="28"/>
        <v>5382</v>
      </c>
      <c r="H208" s="192">
        <f t="shared" si="23"/>
        <v>1794</v>
      </c>
      <c r="I208" s="35"/>
      <c r="J208" s="35">
        <f t="shared" si="20"/>
        <v>7176</v>
      </c>
      <c r="K208" s="35">
        <v>530.04</v>
      </c>
      <c r="L208" s="35"/>
      <c r="M208" s="193"/>
      <c r="N208" s="35"/>
      <c r="O208" s="35"/>
      <c r="P208" s="35">
        <f t="shared" si="21"/>
        <v>530.04</v>
      </c>
      <c r="Q208" s="193">
        <f t="shared" si="22"/>
        <v>6645.96</v>
      </c>
      <c r="R208" s="34"/>
    </row>
    <row r="209" spans="1:18" ht="70.7" customHeight="1" x14ac:dyDescent="0.25">
      <c r="A209" s="251"/>
      <c r="B209" s="275"/>
      <c r="C209" s="17" t="s">
        <v>201</v>
      </c>
      <c r="D209" s="18" t="s">
        <v>203</v>
      </c>
      <c r="E209" s="17">
        <v>348.03</v>
      </c>
      <c r="F209" s="142">
        <v>15</v>
      </c>
      <c r="G209" s="196">
        <f t="shared" si="28"/>
        <v>5220.45</v>
      </c>
      <c r="H209" s="192">
        <f t="shared" si="23"/>
        <v>1740.1499999999999</v>
      </c>
      <c r="I209" s="35"/>
      <c r="J209" s="35">
        <f t="shared" si="20"/>
        <v>6960.5999999999995</v>
      </c>
      <c r="K209" s="35">
        <v>501.09</v>
      </c>
      <c r="L209" s="35">
        <f>G209*1.1875%</f>
        <v>61.992843749999999</v>
      </c>
      <c r="M209" s="193"/>
      <c r="N209" s="35">
        <f>G209*1%</f>
        <v>52.204499999999996</v>
      </c>
      <c r="O209" s="35"/>
      <c r="P209" s="35">
        <f t="shared" si="21"/>
        <v>615.28734374999999</v>
      </c>
      <c r="Q209" s="193">
        <f t="shared" si="22"/>
        <v>6345.3126562499992</v>
      </c>
      <c r="R209" s="34"/>
    </row>
    <row r="210" spans="1:18" ht="70.7" customHeight="1" x14ac:dyDescent="0.25">
      <c r="A210" s="251"/>
      <c r="B210" s="275" t="s">
        <v>206</v>
      </c>
      <c r="C210" s="17" t="s">
        <v>346</v>
      </c>
      <c r="D210" s="18" t="s">
        <v>207</v>
      </c>
      <c r="E210" s="17">
        <v>199.27</v>
      </c>
      <c r="F210" s="142">
        <v>15</v>
      </c>
      <c r="G210" s="196">
        <f t="shared" si="28"/>
        <v>2989.05</v>
      </c>
      <c r="H210" s="192">
        <f t="shared" si="23"/>
        <v>996.35</v>
      </c>
      <c r="I210" s="35"/>
      <c r="J210" s="35">
        <f t="shared" si="20"/>
        <v>3985.4</v>
      </c>
      <c r="K210" s="35">
        <v>58.46</v>
      </c>
      <c r="L210" s="35">
        <f>G210*1.1875%</f>
        <v>35.494968750000005</v>
      </c>
      <c r="M210" s="193"/>
      <c r="N210" s="35">
        <f>G210*1%</f>
        <v>29.890500000000003</v>
      </c>
      <c r="O210" s="35"/>
      <c r="P210" s="35">
        <f t="shared" si="21"/>
        <v>123.84546875000001</v>
      </c>
      <c r="Q210" s="193">
        <f t="shared" si="22"/>
        <v>3861.5545312499999</v>
      </c>
      <c r="R210" s="34"/>
    </row>
    <row r="211" spans="1:18" ht="70.7" customHeight="1" x14ac:dyDescent="0.25">
      <c r="A211" s="251"/>
      <c r="B211" s="275"/>
      <c r="C211" s="17" t="s">
        <v>209</v>
      </c>
      <c r="D211" s="18" t="s">
        <v>208</v>
      </c>
      <c r="E211" s="17">
        <v>252.07</v>
      </c>
      <c r="F211" s="142">
        <v>15</v>
      </c>
      <c r="G211" s="196">
        <f t="shared" si="28"/>
        <v>3781.0499999999997</v>
      </c>
      <c r="H211" s="192">
        <f t="shared" si="23"/>
        <v>1260.3499999999999</v>
      </c>
      <c r="I211" s="35"/>
      <c r="J211" s="35">
        <f t="shared" si="20"/>
        <v>5041.3999999999996</v>
      </c>
      <c r="K211" s="35">
        <v>289.98</v>
      </c>
      <c r="L211" s="35">
        <f>G211*1.1875%</f>
        <v>44.899968749999999</v>
      </c>
      <c r="M211" s="193"/>
      <c r="N211" s="35">
        <f>G211*1%</f>
        <v>37.810499999999998</v>
      </c>
      <c r="O211" s="35"/>
      <c r="P211" s="35">
        <f t="shared" si="21"/>
        <v>372.69046874999998</v>
      </c>
      <c r="Q211" s="193">
        <f t="shared" si="22"/>
        <v>4668.7095312499996</v>
      </c>
      <c r="R211" s="34"/>
    </row>
    <row r="212" spans="1:18" ht="70.7" customHeight="1" x14ac:dyDescent="0.25">
      <c r="A212" s="251"/>
      <c r="B212" s="275"/>
      <c r="C212" s="17" t="s">
        <v>211</v>
      </c>
      <c r="D212" s="18" t="s">
        <v>210</v>
      </c>
      <c r="E212" s="17">
        <v>152.46</v>
      </c>
      <c r="F212" s="142">
        <v>15</v>
      </c>
      <c r="G212" s="196">
        <f t="shared" si="28"/>
        <v>2286.9</v>
      </c>
      <c r="H212" s="192">
        <f t="shared" si="23"/>
        <v>762.30000000000007</v>
      </c>
      <c r="I212" s="35">
        <v>41.11</v>
      </c>
      <c r="J212" s="35">
        <f t="shared" si="20"/>
        <v>3090.3100000000004</v>
      </c>
      <c r="K212" s="35"/>
      <c r="L212" s="35"/>
      <c r="M212" s="193"/>
      <c r="N212" s="35"/>
      <c r="O212" s="35"/>
      <c r="P212" s="35">
        <f t="shared" si="21"/>
        <v>0</v>
      </c>
      <c r="Q212" s="194">
        <f t="shared" si="22"/>
        <v>3090.3100000000004</v>
      </c>
      <c r="R212" s="34"/>
    </row>
    <row r="213" spans="1:18" ht="70.7" customHeight="1" x14ac:dyDescent="0.25">
      <c r="A213" s="251"/>
      <c r="B213" s="68" t="s">
        <v>212</v>
      </c>
      <c r="C213" s="17" t="s">
        <v>134</v>
      </c>
      <c r="D213" s="18" t="s">
        <v>213</v>
      </c>
      <c r="E213" s="17">
        <v>228.65</v>
      </c>
      <c r="F213" s="142">
        <v>15</v>
      </c>
      <c r="G213" s="196">
        <f t="shared" si="28"/>
        <v>3429.75</v>
      </c>
      <c r="H213" s="192">
        <f t="shared" si="23"/>
        <v>1143.25</v>
      </c>
      <c r="I213" s="35"/>
      <c r="J213" s="35">
        <f t="shared" si="20"/>
        <v>4573</v>
      </c>
      <c r="K213" s="35">
        <v>126.66</v>
      </c>
      <c r="L213" s="35">
        <f>G213*1.1875%</f>
        <v>40.728281250000002</v>
      </c>
      <c r="M213" s="193"/>
      <c r="N213" s="35">
        <f>G213*1%</f>
        <v>34.297499999999999</v>
      </c>
      <c r="O213" s="35"/>
      <c r="P213" s="35">
        <f t="shared" si="21"/>
        <v>201.68578124999999</v>
      </c>
      <c r="Q213" s="194">
        <f t="shared" si="22"/>
        <v>4371.3142187499998</v>
      </c>
      <c r="R213" s="34"/>
    </row>
    <row r="214" spans="1:18" ht="70.7" customHeight="1" x14ac:dyDescent="0.25">
      <c r="A214" s="251"/>
      <c r="B214" s="37" t="s">
        <v>469</v>
      </c>
      <c r="C214" s="17" t="s">
        <v>214</v>
      </c>
      <c r="D214" s="18" t="s">
        <v>215</v>
      </c>
      <c r="E214" s="17">
        <v>273.02999999999997</v>
      </c>
      <c r="F214" s="142">
        <v>15</v>
      </c>
      <c r="G214" s="196">
        <f t="shared" ref="G214:G228" si="29">E214*F214</f>
        <v>4095.45</v>
      </c>
      <c r="H214" s="192">
        <f t="shared" si="23"/>
        <v>1365.1499999999999</v>
      </c>
      <c r="I214" s="35"/>
      <c r="J214" s="35">
        <f t="shared" si="20"/>
        <v>5460.5999999999995</v>
      </c>
      <c r="K214" s="35">
        <v>324.18</v>
      </c>
      <c r="L214" s="35"/>
      <c r="M214" s="193"/>
      <c r="N214" s="35"/>
      <c r="O214" s="35"/>
      <c r="P214" s="35">
        <f t="shared" si="21"/>
        <v>324.18</v>
      </c>
      <c r="Q214" s="193">
        <f t="shared" ref="Q214:Q243" si="30">J214-P214</f>
        <v>5136.4199999999992</v>
      </c>
      <c r="R214" s="34"/>
    </row>
    <row r="215" spans="1:18" ht="70.7" customHeight="1" x14ac:dyDescent="0.25">
      <c r="A215" s="251"/>
      <c r="B215" s="244" t="s">
        <v>264</v>
      </c>
      <c r="C215" s="17" t="s">
        <v>64</v>
      </c>
      <c r="D215" s="18" t="s">
        <v>265</v>
      </c>
      <c r="E215" s="17">
        <v>423.02</v>
      </c>
      <c r="F215" s="142">
        <v>15</v>
      </c>
      <c r="G215" s="196">
        <f t="shared" si="29"/>
        <v>6345.2999999999993</v>
      </c>
      <c r="H215" s="192">
        <f t="shared" si="23"/>
        <v>2115.1</v>
      </c>
      <c r="I215" s="35"/>
      <c r="J215" s="35">
        <f t="shared" ref="J215:J243" si="31">G215+I215+H215</f>
        <v>8460.4</v>
      </c>
      <c r="K215" s="35">
        <v>717.18</v>
      </c>
      <c r="L215" s="35"/>
      <c r="M215" s="193">
        <v>1428.52</v>
      </c>
      <c r="N215" s="35"/>
      <c r="O215" s="35">
        <f>G215*3%</f>
        <v>190.35899999999998</v>
      </c>
      <c r="P215" s="35">
        <f t="shared" ref="P215:P243" si="32">K215+L215+N215+O215+M215</f>
        <v>2336.0590000000002</v>
      </c>
      <c r="Q215" s="193">
        <f t="shared" si="30"/>
        <v>6124.3409999999994</v>
      </c>
      <c r="R215" s="34"/>
    </row>
    <row r="216" spans="1:18" ht="70.7" customHeight="1" x14ac:dyDescent="0.25">
      <c r="A216" s="251"/>
      <c r="B216" s="245"/>
      <c r="C216" s="17" t="s">
        <v>33</v>
      </c>
      <c r="D216" s="18" t="s">
        <v>563</v>
      </c>
      <c r="E216" s="17">
        <v>207.79</v>
      </c>
      <c r="F216" s="142">
        <v>15</v>
      </c>
      <c r="G216" s="196">
        <f t="shared" si="29"/>
        <v>3116.85</v>
      </c>
      <c r="H216" s="192">
        <f t="shared" si="23"/>
        <v>1038.95</v>
      </c>
      <c r="I216" s="35"/>
      <c r="J216" s="35">
        <f t="shared" si="31"/>
        <v>4155.8</v>
      </c>
      <c r="K216" s="35">
        <v>92.61</v>
      </c>
      <c r="L216" s="35">
        <f>G216*1.1875%</f>
        <v>37.012593750000001</v>
      </c>
      <c r="M216" s="193"/>
      <c r="N216" s="35">
        <f>G216*1%</f>
        <v>31.168499999999998</v>
      </c>
      <c r="O216" s="35"/>
      <c r="P216" s="35">
        <f t="shared" si="32"/>
        <v>160.79109374999999</v>
      </c>
      <c r="Q216" s="193">
        <f t="shared" si="30"/>
        <v>3995.0089062500001</v>
      </c>
      <c r="R216" s="34"/>
    </row>
    <row r="217" spans="1:18" ht="70.7" customHeight="1" x14ac:dyDescent="0.25">
      <c r="A217" s="257" t="s">
        <v>242</v>
      </c>
      <c r="B217" s="244" t="s">
        <v>264</v>
      </c>
      <c r="C217" s="17" t="s">
        <v>323</v>
      </c>
      <c r="D217" s="18" t="s">
        <v>590</v>
      </c>
      <c r="E217" s="17">
        <v>271.06</v>
      </c>
      <c r="F217" s="142">
        <v>15</v>
      </c>
      <c r="G217" s="196">
        <f t="shared" si="29"/>
        <v>4065.9</v>
      </c>
      <c r="H217" s="192">
        <f>+E217*2.77</f>
        <v>750.83619999999996</v>
      </c>
      <c r="I217" s="35"/>
      <c r="J217" s="35">
        <f t="shared" si="31"/>
        <v>4816.7362000000003</v>
      </c>
      <c r="K217" s="35">
        <v>320.97000000000003</v>
      </c>
      <c r="L217" s="35">
        <v>48.28</v>
      </c>
      <c r="M217" s="193"/>
      <c r="N217" s="35">
        <v>40.659999999999997</v>
      </c>
      <c r="O217" s="35"/>
      <c r="P217" s="35">
        <f t="shared" si="32"/>
        <v>409.90999999999997</v>
      </c>
      <c r="Q217" s="193">
        <f t="shared" si="30"/>
        <v>4406.8262000000004</v>
      </c>
      <c r="R217" s="34"/>
    </row>
    <row r="218" spans="1:18" ht="70.7" customHeight="1" x14ac:dyDescent="0.25">
      <c r="A218" s="257"/>
      <c r="B218" s="268"/>
      <c r="C218" s="17" t="s">
        <v>323</v>
      </c>
      <c r="D218" s="18" t="s">
        <v>324</v>
      </c>
      <c r="E218" s="17">
        <v>271.06</v>
      </c>
      <c r="F218" s="142">
        <v>15</v>
      </c>
      <c r="G218" s="196">
        <f t="shared" si="29"/>
        <v>4065.9</v>
      </c>
      <c r="H218" s="192">
        <f t="shared" ref="H218:H243" si="33">+E218*5</f>
        <v>1355.3</v>
      </c>
      <c r="I218" s="35"/>
      <c r="J218" s="35">
        <f t="shared" si="31"/>
        <v>5421.2</v>
      </c>
      <c r="K218" s="35">
        <v>320.97000000000003</v>
      </c>
      <c r="L218" s="35">
        <f>G218*1.1875%</f>
        <v>48.282562500000004</v>
      </c>
      <c r="M218" s="193"/>
      <c r="N218" s="35">
        <f>G218*1%</f>
        <v>40.658999999999999</v>
      </c>
      <c r="O218" s="35"/>
      <c r="P218" s="35">
        <f t="shared" si="32"/>
        <v>409.9115625</v>
      </c>
      <c r="Q218" s="193">
        <f t="shared" si="30"/>
        <v>5011.2884374999994</v>
      </c>
      <c r="R218" s="34"/>
    </row>
    <row r="219" spans="1:18" ht="70.7" customHeight="1" x14ac:dyDescent="0.25">
      <c r="A219" s="257"/>
      <c r="B219" s="268"/>
      <c r="C219" s="17" t="s">
        <v>325</v>
      </c>
      <c r="D219" s="18" t="s">
        <v>326</v>
      </c>
      <c r="E219" s="17">
        <v>257.26</v>
      </c>
      <c r="F219" s="142">
        <v>15</v>
      </c>
      <c r="G219" s="196">
        <f t="shared" si="29"/>
        <v>3858.8999999999996</v>
      </c>
      <c r="H219" s="192">
        <f t="shared" si="33"/>
        <v>1286.3</v>
      </c>
      <c r="I219" s="35"/>
      <c r="J219" s="35">
        <f t="shared" si="31"/>
        <v>5145.2</v>
      </c>
      <c r="K219" s="35">
        <v>298.45</v>
      </c>
      <c r="L219" s="35"/>
      <c r="M219" s="193"/>
      <c r="N219" s="35"/>
      <c r="O219" s="35"/>
      <c r="P219" s="35">
        <f t="shared" si="32"/>
        <v>298.45</v>
      </c>
      <c r="Q219" s="193">
        <f t="shared" si="30"/>
        <v>4846.75</v>
      </c>
      <c r="R219" s="34"/>
    </row>
    <row r="220" spans="1:18" ht="70.7" customHeight="1" x14ac:dyDescent="0.25">
      <c r="A220" s="257"/>
      <c r="B220" s="268"/>
      <c r="C220" s="17" t="s">
        <v>311</v>
      </c>
      <c r="D220" s="18" t="s">
        <v>559</v>
      </c>
      <c r="E220" s="17">
        <v>211.56</v>
      </c>
      <c r="F220" s="142">
        <v>15</v>
      </c>
      <c r="G220" s="196">
        <f t="shared" si="29"/>
        <v>3173.4</v>
      </c>
      <c r="H220" s="192">
        <f>+E220*1.6</f>
        <v>338.49600000000004</v>
      </c>
      <c r="I220" s="35"/>
      <c r="J220" s="35">
        <f t="shared" si="31"/>
        <v>3511.8960000000002</v>
      </c>
      <c r="K220" s="35">
        <v>98.76</v>
      </c>
      <c r="L220" s="35"/>
      <c r="M220" s="193"/>
      <c r="N220" s="35"/>
      <c r="O220" s="35"/>
      <c r="P220" s="35">
        <f t="shared" si="32"/>
        <v>98.76</v>
      </c>
      <c r="Q220" s="193">
        <f t="shared" si="30"/>
        <v>3413.136</v>
      </c>
      <c r="R220" s="34"/>
    </row>
    <row r="221" spans="1:18" ht="70.7" customHeight="1" x14ac:dyDescent="0.25">
      <c r="A221" s="257"/>
      <c r="B221" s="268"/>
      <c r="C221" s="17" t="s">
        <v>311</v>
      </c>
      <c r="D221" s="18" t="s">
        <v>309</v>
      </c>
      <c r="E221" s="17">
        <v>211.56</v>
      </c>
      <c r="F221" s="142">
        <v>15</v>
      </c>
      <c r="G221" s="196">
        <f t="shared" si="29"/>
        <v>3173.4</v>
      </c>
      <c r="H221" s="192">
        <f t="shared" si="33"/>
        <v>1057.8</v>
      </c>
      <c r="I221" s="35"/>
      <c r="J221" s="35">
        <f t="shared" si="31"/>
        <v>4231.2</v>
      </c>
      <c r="K221" s="35">
        <v>98.76</v>
      </c>
      <c r="L221" s="35">
        <f>G221*1.1875%</f>
        <v>37.684125000000002</v>
      </c>
      <c r="M221" s="193"/>
      <c r="N221" s="35"/>
      <c r="O221" s="35"/>
      <c r="P221" s="35">
        <f t="shared" si="32"/>
        <v>136.44412500000001</v>
      </c>
      <c r="Q221" s="193">
        <f t="shared" si="30"/>
        <v>4094.7558749999998</v>
      </c>
      <c r="R221" s="34"/>
    </row>
    <row r="222" spans="1:18" ht="70.7" customHeight="1" x14ac:dyDescent="0.25">
      <c r="A222" s="257"/>
      <c r="B222" s="268"/>
      <c r="C222" s="17" t="s">
        <v>311</v>
      </c>
      <c r="D222" s="18" t="s">
        <v>440</v>
      </c>
      <c r="E222" s="17">
        <v>211.56</v>
      </c>
      <c r="F222" s="142"/>
      <c r="G222" s="196"/>
      <c r="H222" s="192"/>
      <c r="I222" s="35"/>
      <c r="J222" s="35"/>
      <c r="K222" s="35"/>
      <c r="L222" s="35"/>
      <c r="M222" s="193"/>
      <c r="N222" s="70"/>
      <c r="O222" s="35"/>
      <c r="P222" s="35"/>
      <c r="Q222" s="193"/>
      <c r="R222" s="34"/>
    </row>
    <row r="223" spans="1:18" ht="70.7" customHeight="1" x14ac:dyDescent="0.25">
      <c r="A223" s="257"/>
      <c r="B223" s="268"/>
      <c r="C223" s="17" t="s">
        <v>311</v>
      </c>
      <c r="D223" s="18" t="s">
        <v>310</v>
      </c>
      <c r="E223" s="17">
        <v>211.56</v>
      </c>
      <c r="F223" s="142">
        <v>15</v>
      </c>
      <c r="G223" s="196">
        <f t="shared" si="29"/>
        <v>3173.4</v>
      </c>
      <c r="H223" s="192">
        <f t="shared" si="33"/>
        <v>1057.8</v>
      </c>
      <c r="I223" s="35"/>
      <c r="J223" s="35">
        <f t="shared" si="31"/>
        <v>4231.2</v>
      </c>
      <c r="K223" s="35">
        <v>98.76</v>
      </c>
      <c r="L223" s="35">
        <f>G223*1.18752%</f>
        <v>37.684759679999999</v>
      </c>
      <c r="M223" s="193"/>
      <c r="N223" s="35">
        <v>31.73</v>
      </c>
      <c r="O223" s="35"/>
      <c r="P223" s="35">
        <f t="shared" si="32"/>
        <v>168.17475967999999</v>
      </c>
      <c r="Q223" s="193">
        <f t="shared" si="30"/>
        <v>4063.0252403199997</v>
      </c>
      <c r="R223" s="34"/>
    </row>
    <row r="224" spans="1:18" ht="70.7" customHeight="1" x14ac:dyDescent="0.25">
      <c r="A224" s="257"/>
      <c r="B224" s="268"/>
      <c r="C224" s="17" t="s">
        <v>312</v>
      </c>
      <c r="D224" s="18" t="s">
        <v>313</v>
      </c>
      <c r="E224" s="17">
        <v>207.79</v>
      </c>
      <c r="F224" s="142">
        <v>15</v>
      </c>
      <c r="G224" s="196">
        <f t="shared" si="29"/>
        <v>3116.85</v>
      </c>
      <c r="H224" s="192">
        <f t="shared" si="33"/>
        <v>1038.95</v>
      </c>
      <c r="I224" s="35"/>
      <c r="J224" s="35">
        <f t="shared" si="31"/>
        <v>4155.8</v>
      </c>
      <c r="K224" s="35">
        <v>92.61</v>
      </c>
      <c r="L224" s="35">
        <f>G224*1.18752%</f>
        <v>37.013217119999993</v>
      </c>
      <c r="M224" s="193"/>
      <c r="N224" s="35">
        <f>G224*1%</f>
        <v>31.168499999999998</v>
      </c>
      <c r="O224" s="35"/>
      <c r="P224" s="35">
        <f t="shared" si="32"/>
        <v>160.79171711999999</v>
      </c>
      <c r="Q224" s="193">
        <f t="shared" si="30"/>
        <v>3995.00828288</v>
      </c>
      <c r="R224" s="34"/>
    </row>
    <row r="225" spans="1:18" ht="70.7" customHeight="1" x14ac:dyDescent="0.25">
      <c r="A225" s="257"/>
      <c r="B225" s="268"/>
      <c r="C225" s="17" t="s">
        <v>312</v>
      </c>
      <c r="D225" s="18" t="s">
        <v>314</v>
      </c>
      <c r="E225" s="17">
        <v>207.79</v>
      </c>
      <c r="F225" s="142">
        <v>15</v>
      </c>
      <c r="G225" s="196">
        <f t="shared" si="29"/>
        <v>3116.85</v>
      </c>
      <c r="H225" s="192">
        <f t="shared" si="33"/>
        <v>1038.95</v>
      </c>
      <c r="I225" s="35"/>
      <c r="J225" s="35">
        <f t="shared" si="31"/>
        <v>4155.8</v>
      </c>
      <c r="K225" s="35">
        <v>92.61</v>
      </c>
      <c r="L225" s="35">
        <f>G225*1.18752%</f>
        <v>37.013217119999993</v>
      </c>
      <c r="M225" s="193"/>
      <c r="N225" s="35">
        <f>G225*1%</f>
        <v>31.168499999999998</v>
      </c>
      <c r="O225" s="35"/>
      <c r="P225" s="35">
        <f t="shared" si="32"/>
        <v>160.79171711999999</v>
      </c>
      <c r="Q225" s="193">
        <f t="shared" si="30"/>
        <v>3995.00828288</v>
      </c>
      <c r="R225" s="34"/>
    </row>
    <row r="226" spans="1:18" ht="70.7" customHeight="1" x14ac:dyDescent="0.25">
      <c r="A226" s="257"/>
      <c r="B226" s="268"/>
      <c r="C226" s="17" t="s">
        <v>312</v>
      </c>
      <c r="D226" s="18" t="s">
        <v>327</v>
      </c>
      <c r="E226" s="17">
        <v>207.79</v>
      </c>
      <c r="F226" s="142">
        <v>15</v>
      </c>
      <c r="G226" s="196">
        <f t="shared" si="29"/>
        <v>3116.85</v>
      </c>
      <c r="H226" s="192">
        <f t="shared" si="33"/>
        <v>1038.95</v>
      </c>
      <c r="I226" s="35"/>
      <c r="J226" s="35">
        <f t="shared" si="31"/>
        <v>4155.8</v>
      </c>
      <c r="K226" s="35">
        <v>92.61</v>
      </c>
      <c r="L226" s="35">
        <f>G226*1.18752%</f>
        <v>37.013217119999993</v>
      </c>
      <c r="M226" s="193"/>
      <c r="N226" s="35"/>
      <c r="O226" s="35"/>
      <c r="P226" s="35">
        <f t="shared" si="32"/>
        <v>129.62321711999999</v>
      </c>
      <c r="Q226" s="193">
        <f t="shared" si="30"/>
        <v>4026.1767828800002</v>
      </c>
      <c r="R226" s="34"/>
    </row>
    <row r="227" spans="1:18" ht="70.7" customHeight="1" x14ac:dyDescent="0.25">
      <c r="A227" s="257"/>
      <c r="B227" s="268"/>
      <c r="C227" s="17" t="s">
        <v>315</v>
      </c>
      <c r="D227" s="18" t="s">
        <v>317</v>
      </c>
      <c r="E227" s="17">
        <v>166.98</v>
      </c>
      <c r="F227" s="142">
        <v>15</v>
      </c>
      <c r="G227" s="196">
        <f t="shared" si="29"/>
        <v>2504.6999999999998</v>
      </c>
      <c r="H227" s="192">
        <f t="shared" si="33"/>
        <v>834.9</v>
      </c>
      <c r="I227" s="35">
        <v>9.24</v>
      </c>
      <c r="J227" s="35">
        <f t="shared" si="31"/>
        <v>3348.8399999999997</v>
      </c>
      <c r="K227" s="35"/>
      <c r="L227" s="35"/>
      <c r="M227" s="193"/>
      <c r="N227" s="35"/>
      <c r="O227" s="35"/>
      <c r="P227" s="35">
        <f t="shared" si="32"/>
        <v>0</v>
      </c>
      <c r="Q227" s="193">
        <f t="shared" si="30"/>
        <v>3348.8399999999997</v>
      </c>
      <c r="R227" s="34"/>
    </row>
    <row r="228" spans="1:18" ht="70.7" customHeight="1" thickBot="1" x14ac:dyDescent="0.3">
      <c r="A228" s="263"/>
      <c r="B228" s="245"/>
      <c r="C228" s="17" t="s">
        <v>384</v>
      </c>
      <c r="D228" s="18" t="s">
        <v>385</v>
      </c>
      <c r="E228" s="17">
        <v>144.08000000000001</v>
      </c>
      <c r="F228" s="142">
        <v>15</v>
      </c>
      <c r="G228" s="196">
        <f t="shared" si="29"/>
        <v>2161.2000000000003</v>
      </c>
      <c r="H228" s="192">
        <f t="shared" si="33"/>
        <v>720.40000000000009</v>
      </c>
      <c r="I228" s="35">
        <v>49.26</v>
      </c>
      <c r="J228" s="35">
        <f t="shared" si="31"/>
        <v>2930.8600000000006</v>
      </c>
      <c r="K228" s="35"/>
      <c r="L228" s="35"/>
      <c r="M228" s="193"/>
      <c r="N228" s="35">
        <f>G228*1%</f>
        <v>21.612000000000002</v>
      </c>
      <c r="O228" s="35"/>
      <c r="P228" s="35">
        <f t="shared" si="32"/>
        <v>21.612000000000002</v>
      </c>
      <c r="Q228" s="193">
        <f t="shared" si="30"/>
        <v>2909.2480000000005</v>
      </c>
      <c r="R228" s="34"/>
    </row>
    <row r="229" spans="1:18" ht="70.7" customHeight="1" x14ac:dyDescent="0.25">
      <c r="A229" s="264" t="s">
        <v>222</v>
      </c>
      <c r="B229" s="284" t="s">
        <v>223</v>
      </c>
      <c r="C229" s="17" t="s">
        <v>134</v>
      </c>
      <c r="D229" s="18" t="s">
        <v>224</v>
      </c>
      <c r="E229" s="17">
        <v>853.34</v>
      </c>
      <c r="F229" s="142">
        <v>15</v>
      </c>
      <c r="G229" s="197">
        <f t="shared" ref="G229:G238" si="34">E229*F229</f>
        <v>12800.1</v>
      </c>
      <c r="H229" s="192">
        <f t="shared" si="33"/>
        <v>4266.7</v>
      </c>
      <c r="I229" s="35"/>
      <c r="J229" s="35">
        <f t="shared" si="31"/>
        <v>17066.8</v>
      </c>
      <c r="K229" s="35">
        <v>2114.2600000000002</v>
      </c>
      <c r="L229" s="35"/>
      <c r="M229" s="193"/>
      <c r="N229" s="35"/>
      <c r="O229" s="35">
        <f>G229*4%</f>
        <v>512.00400000000002</v>
      </c>
      <c r="P229" s="35">
        <f t="shared" si="32"/>
        <v>2626.2640000000001</v>
      </c>
      <c r="Q229" s="193">
        <f t="shared" si="30"/>
        <v>14440.536</v>
      </c>
      <c r="R229" s="34"/>
    </row>
    <row r="230" spans="1:18" ht="70.7" customHeight="1" x14ac:dyDescent="0.25">
      <c r="A230" s="265"/>
      <c r="B230" s="283"/>
      <c r="C230" s="17" t="s">
        <v>228</v>
      </c>
      <c r="D230" s="18" t="s">
        <v>225</v>
      </c>
      <c r="E230" s="17">
        <v>571.51</v>
      </c>
      <c r="F230" s="142">
        <v>15</v>
      </c>
      <c r="G230" s="197">
        <f t="shared" si="34"/>
        <v>8572.65</v>
      </c>
      <c r="H230" s="192">
        <f>+E230*6</f>
        <v>3429.06</v>
      </c>
      <c r="I230" s="35"/>
      <c r="J230" s="35">
        <f t="shared" si="31"/>
        <v>12001.71</v>
      </c>
      <c r="K230" s="35">
        <v>1192.94</v>
      </c>
      <c r="L230" s="35">
        <f>G230*1.1875%</f>
        <v>101.80021875</v>
      </c>
      <c r="M230" s="193"/>
      <c r="N230" s="35">
        <v>85.73</v>
      </c>
      <c r="O230" s="35"/>
      <c r="P230" s="35">
        <f t="shared" si="32"/>
        <v>1380.4702187500002</v>
      </c>
      <c r="Q230" s="193">
        <f t="shared" si="30"/>
        <v>10621.239781249998</v>
      </c>
      <c r="R230" s="34"/>
    </row>
    <row r="231" spans="1:18" ht="70.7" customHeight="1" x14ac:dyDescent="0.25">
      <c r="A231" s="265"/>
      <c r="B231" s="285"/>
      <c r="C231" s="17" t="s">
        <v>229</v>
      </c>
      <c r="D231" s="18" t="s">
        <v>226</v>
      </c>
      <c r="E231" s="17">
        <v>403.87</v>
      </c>
      <c r="F231" s="142">
        <v>15</v>
      </c>
      <c r="G231" s="197">
        <f t="shared" si="34"/>
        <v>6058.05</v>
      </c>
      <c r="H231" s="192">
        <f t="shared" si="33"/>
        <v>2019.35</v>
      </c>
      <c r="I231" s="35"/>
      <c r="J231" s="35">
        <f t="shared" si="31"/>
        <v>8077.4</v>
      </c>
      <c r="K231" s="35">
        <v>655.83</v>
      </c>
      <c r="L231" s="35">
        <f>G231*1.1875%</f>
        <v>71.939343750000006</v>
      </c>
      <c r="M231" s="193"/>
      <c r="N231" s="35">
        <f>G231*1%</f>
        <v>60.580500000000001</v>
      </c>
      <c r="O231" s="35"/>
      <c r="P231" s="35">
        <f t="shared" si="32"/>
        <v>788.3498437500001</v>
      </c>
      <c r="Q231" s="193">
        <f t="shared" si="30"/>
        <v>7289.0501562499994</v>
      </c>
      <c r="R231" s="34"/>
    </row>
    <row r="232" spans="1:18" ht="70.7" customHeight="1" x14ac:dyDescent="0.25">
      <c r="A232" s="265"/>
      <c r="B232" s="344" t="s">
        <v>470</v>
      </c>
      <c r="C232" s="17" t="s">
        <v>227</v>
      </c>
      <c r="D232" s="18" t="s">
        <v>230</v>
      </c>
      <c r="E232" s="17">
        <v>381.52</v>
      </c>
      <c r="F232" s="142">
        <v>15</v>
      </c>
      <c r="G232" s="197">
        <f t="shared" si="34"/>
        <v>5722.7999999999993</v>
      </c>
      <c r="H232" s="192">
        <f t="shared" si="33"/>
        <v>1907.6</v>
      </c>
      <c r="I232" s="35"/>
      <c r="J232" s="35">
        <f t="shared" si="31"/>
        <v>7630.4</v>
      </c>
      <c r="K232" s="35">
        <v>591.11</v>
      </c>
      <c r="L232" s="35">
        <f>G232*1.1875%</f>
        <v>67.958249999999992</v>
      </c>
      <c r="M232" s="193"/>
      <c r="N232" s="35">
        <f>G232*1%</f>
        <v>57.227999999999994</v>
      </c>
      <c r="O232" s="35"/>
      <c r="P232" s="35">
        <f t="shared" si="32"/>
        <v>716.29624999999999</v>
      </c>
      <c r="Q232" s="193">
        <f t="shared" si="30"/>
        <v>6914.1037499999993</v>
      </c>
      <c r="R232" s="34"/>
    </row>
    <row r="233" spans="1:18" ht="70.7" customHeight="1" x14ac:dyDescent="0.25">
      <c r="A233" s="265"/>
      <c r="B233" s="345"/>
      <c r="C233" s="17" t="s">
        <v>232</v>
      </c>
      <c r="E233" s="17">
        <v>238.67</v>
      </c>
      <c r="F233" s="142">
        <v>0</v>
      </c>
      <c r="G233" s="197">
        <f t="shared" si="34"/>
        <v>0</v>
      </c>
      <c r="H233" s="192"/>
      <c r="I233" s="35"/>
      <c r="J233" s="35">
        <f t="shared" si="31"/>
        <v>0</v>
      </c>
      <c r="K233" s="35"/>
      <c r="L233" s="35"/>
      <c r="M233" s="193"/>
      <c r="N233" s="35"/>
      <c r="O233" s="35"/>
      <c r="P233" s="35">
        <f t="shared" si="32"/>
        <v>0</v>
      </c>
      <c r="Q233" s="193">
        <f t="shared" si="30"/>
        <v>0</v>
      </c>
      <c r="R233" s="34"/>
    </row>
    <row r="234" spans="1:18" ht="70.7" customHeight="1" x14ac:dyDescent="0.25">
      <c r="A234" s="265"/>
      <c r="B234" s="37" t="s">
        <v>471</v>
      </c>
      <c r="C234" s="17" t="s">
        <v>233</v>
      </c>
      <c r="D234" s="18" t="s">
        <v>231</v>
      </c>
      <c r="E234" s="17">
        <v>364.81</v>
      </c>
      <c r="F234" s="142">
        <v>15</v>
      </c>
      <c r="G234" s="197">
        <f t="shared" si="34"/>
        <v>5472.15</v>
      </c>
      <c r="H234" s="192">
        <f t="shared" si="33"/>
        <v>1824.05</v>
      </c>
      <c r="I234" s="35"/>
      <c r="J234" s="35">
        <f t="shared" si="31"/>
        <v>7296.2</v>
      </c>
      <c r="K234" s="35">
        <v>546.20000000000005</v>
      </c>
      <c r="L234" s="35">
        <f>G234*1.1875%</f>
        <v>64.981781249999997</v>
      </c>
      <c r="M234" s="193"/>
      <c r="N234" s="35">
        <f>G234*1%</f>
        <v>54.721499999999999</v>
      </c>
      <c r="O234" s="35"/>
      <c r="P234" s="35">
        <f t="shared" si="32"/>
        <v>665.90328125000008</v>
      </c>
      <c r="Q234" s="193">
        <f t="shared" si="30"/>
        <v>6630.2967187499999</v>
      </c>
      <c r="R234" s="34"/>
    </row>
    <row r="235" spans="1:18" ht="70.7" customHeight="1" x14ac:dyDescent="0.25">
      <c r="A235" s="265" t="s">
        <v>222</v>
      </c>
      <c r="B235" s="275" t="s">
        <v>236</v>
      </c>
      <c r="C235" s="17" t="s">
        <v>237</v>
      </c>
      <c r="D235" s="18" t="s">
        <v>238</v>
      </c>
      <c r="E235" s="17">
        <v>529.88</v>
      </c>
      <c r="F235" s="142">
        <v>15</v>
      </c>
      <c r="G235" s="197">
        <f t="shared" si="34"/>
        <v>7948.2</v>
      </c>
      <c r="H235" s="192">
        <f t="shared" si="33"/>
        <v>2649.4</v>
      </c>
      <c r="I235" s="35"/>
      <c r="J235" s="35">
        <f t="shared" si="31"/>
        <v>10597.6</v>
      </c>
      <c r="K235" s="35">
        <v>1059.56</v>
      </c>
      <c r="L235" s="35">
        <f>G235*1.1875%</f>
        <v>94.384874999999994</v>
      </c>
      <c r="M235" s="193"/>
      <c r="N235" s="35"/>
      <c r="O235" s="35"/>
      <c r="P235" s="35">
        <f t="shared" si="32"/>
        <v>1153.9448749999999</v>
      </c>
      <c r="Q235" s="193">
        <f t="shared" si="30"/>
        <v>9443.6551250000011</v>
      </c>
      <c r="R235" s="34"/>
    </row>
    <row r="236" spans="1:18" ht="70.7" customHeight="1" x14ac:dyDescent="0.25">
      <c r="A236" s="265"/>
      <c r="B236" s="275"/>
      <c r="C236" s="17" t="s">
        <v>239</v>
      </c>
      <c r="D236" s="18" t="s">
        <v>240</v>
      </c>
      <c r="E236" s="17">
        <v>207.79</v>
      </c>
      <c r="F236" s="142">
        <v>15</v>
      </c>
      <c r="G236" s="197">
        <f t="shared" si="34"/>
        <v>3116.85</v>
      </c>
      <c r="H236" s="192">
        <f t="shared" si="33"/>
        <v>1038.95</v>
      </c>
      <c r="I236" s="35"/>
      <c r="J236" s="35">
        <f t="shared" si="31"/>
        <v>4155.8</v>
      </c>
      <c r="K236" s="35">
        <v>92.61</v>
      </c>
      <c r="L236" s="35">
        <f>G236*1.1875%</f>
        <v>37.012593750000001</v>
      </c>
      <c r="M236" s="193"/>
      <c r="N236" s="35">
        <f>G236*1%</f>
        <v>31.168499999999998</v>
      </c>
      <c r="O236" s="35"/>
      <c r="P236" s="35">
        <f t="shared" si="32"/>
        <v>160.79109374999999</v>
      </c>
      <c r="Q236" s="193">
        <f t="shared" si="30"/>
        <v>3995.0089062500001</v>
      </c>
      <c r="R236" s="34"/>
    </row>
    <row r="237" spans="1:18" ht="70.7" customHeight="1" x14ac:dyDescent="0.25">
      <c r="A237" s="265"/>
      <c r="B237" s="275"/>
      <c r="C237" s="17" t="s">
        <v>78</v>
      </c>
      <c r="D237" s="18" t="s">
        <v>241</v>
      </c>
      <c r="E237" s="17">
        <v>207.79</v>
      </c>
      <c r="F237" s="142">
        <v>15</v>
      </c>
      <c r="G237" s="197">
        <f t="shared" si="34"/>
        <v>3116.85</v>
      </c>
      <c r="H237" s="192">
        <f t="shared" si="33"/>
        <v>1038.95</v>
      </c>
      <c r="I237" s="35"/>
      <c r="J237" s="35">
        <f t="shared" si="31"/>
        <v>4155.8</v>
      </c>
      <c r="K237" s="35">
        <v>92.61</v>
      </c>
      <c r="L237" s="35">
        <f>G237*1.1875%</f>
        <v>37.012593750000001</v>
      </c>
      <c r="M237" s="193"/>
      <c r="N237" s="35">
        <f>G237*1%</f>
        <v>31.168499999999998</v>
      </c>
      <c r="O237" s="35"/>
      <c r="P237" s="35">
        <f t="shared" si="32"/>
        <v>160.79109374999999</v>
      </c>
      <c r="Q237" s="193">
        <f t="shared" si="30"/>
        <v>3995.0089062500001</v>
      </c>
      <c r="R237" s="34"/>
    </row>
    <row r="238" spans="1:18" ht="70.7" customHeight="1" thickBot="1" x14ac:dyDescent="0.3">
      <c r="A238" s="343"/>
      <c r="B238" s="275"/>
      <c r="C238" s="17" t="s">
        <v>349</v>
      </c>
      <c r="D238" s="18" t="s">
        <v>455</v>
      </c>
      <c r="E238" s="17">
        <v>207.79</v>
      </c>
      <c r="F238" s="142">
        <v>15</v>
      </c>
      <c r="G238" s="197">
        <f t="shared" si="34"/>
        <v>3116.85</v>
      </c>
      <c r="H238" s="192">
        <f t="shared" si="33"/>
        <v>1038.95</v>
      </c>
      <c r="I238" s="35"/>
      <c r="J238" s="35">
        <f t="shared" si="31"/>
        <v>4155.8</v>
      </c>
      <c r="K238" s="35">
        <v>92.61</v>
      </c>
      <c r="L238" s="35">
        <f>G238*1.1875%</f>
        <v>37.012593750000001</v>
      </c>
      <c r="M238" s="193"/>
      <c r="N238" s="35">
        <f>G238*1%</f>
        <v>31.168499999999998</v>
      </c>
      <c r="O238" s="35"/>
      <c r="P238" s="35">
        <f t="shared" si="32"/>
        <v>160.79109374999999</v>
      </c>
      <c r="Q238" s="193">
        <f t="shared" si="30"/>
        <v>3995.0089062500001</v>
      </c>
      <c r="R238" s="34"/>
    </row>
    <row r="239" spans="1:18" ht="70.7" customHeight="1" x14ac:dyDescent="0.25">
      <c r="A239" s="250" t="s">
        <v>460</v>
      </c>
      <c r="B239" s="244" t="s">
        <v>472</v>
      </c>
      <c r="C239" s="17" t="s">
        <v>37</v>
      </c>
      <c r="D239" s="18" t="s">
        <v>284</v>
      </c>
      <c r="E239" s="17">
        <v>358.8</v>
      </c>
      <c r="F239" s="142">
        <v>15</v>
      </c>
      <c r="G239" s="197">
        <f>E239*F239</f>
        <v>5382</v>
      </c>
      <c r="H239" s="192">
        <f t="shared" si="33"/>
        <v>1794</v>
      </c>
      <c r="I239" s="35"/>
      <c r="J239" s="35">
        <f t="shared" si="31"/>
        <v>7176</v>
      </c>
      <c r="K239" s="35">
        <v>530.04</v>
      </c>
      <c r="L239" s="35"/>
      <c r="M239" s="193"/>
      <c r="N239" s="35"/>
      <c r="O239" s="35"/>
      <c r="P239" s="35">
        <f t="shared" si="32"/>
        <v>530.04</v>
      </c>
      <c r="Q239" s="193">
        <f t="shared" si="30"/>
        <v>6645.96</v>
      </c>
      <c r="R239" s="34"/>
    </row>
    <row r="240" spans="1:18" ht="70.7" customHeight="1" x14ac:dyDescent="0.25">
      <c r="A240" s="251"/>
      <c r="B240" s="245"/>
      <c r="C240" s="17" t="s">
        <v>285</v>
      </c>
      <c r="D240" s="18" t="s">
        <v>286</v>
      </c>
      <c r="E240" s="17">
        <v>225.9</v>
      </c>
      <c r="F240" s="142">
        <v>15</v>
      </c>
      <c r="G240" s="197">
        <f>E240*F240</f>
        <v>3388.5</v>
      </c>
      <c r="H240" s="192">
        <f t="shared" si="33"/>
        <v>1129.5</v>
      </c>
      <c r="I240" s="35"/>
      <c r="J240" s="35">
        <f t="shared" si="31"/>
        <v>4518</v>
      </c>
      <c r="K240" s="35">
        <v>122.17</v>
      </c>
      <c r="L240" s="35">
        <f>G240*1.1875%</f>
        <v>40.238437500000003</v>
      </c>
      <c r="M240" s="193"/>
      <c r="N240" s="35">
        <f>G240*1%</f>
        <v>33.884999999999998</v>
      </c>
      <c r="O240" s="35"/>
      <c r="P240" s="35">
        <f t="shared" si="32"/>
        <v>196.29343749999998</v>
      </c>
      <c r="Q240" s="193">
        <f t="shared" si="30"/>
        <v>4321.7065624999996</v>
      </c>
      <c r="R240" s="34"/>
    </row>
    <row r="241" spans="1:18" ht="70.7" customHeight="1" x14ac:dyDescent="0.25">
      <c r="A241" s="251"/>
      <c r="B241" s="275" t="s">
        <v>287</v>
      </c>
      <c r="C241" s="17" t="s">
        <v>37</v>
      </c>
      <c r="D241" s="18" t="s">
        <v>288</v>
      </c>
      <c r="E241" s="17">
        <v>423.02</v>
      </c>
      <c r="F241" s="142">
        <v>15</v>
      </c>
      <c r="G241" s="197">
        <f>E241*F241</f>
        <v>6345.2999999999993</v>
      </c>
      <c r="H241" s="192">
        <f t="shared" si="33"/>
        <v>2115.1</v>
      </c>
      <c r="I241" s="35"/>
      <c r="J241" s="35">
        <f t="shared" si="31"/>
        <v>8460.4</v>
      </c>
      <c r="K241" s="35">
        <v>717.18</v>
      </c>
      <c r="L241" s="35"/>
      <c r="M241" s="193"/>
      <c r="N241" s="35"/>
      <c r="O241" s="35">
        <f>G241*3%</f>
        <v>190.35899999999998</v>
      </c>
      <c r="P241" s="35">
        <f t="shared" si="32"/>
        <v>907.53899999999999</v>
      </c>
      <c r="Q241" s="193">
        <f t="shared" si="30"/>
        <v>7552.8609999999999</v>
      </c>
      <c r="R241" s="34"/>
    </row>
    <row r="242" spans="1:18" ht="70.7" customHeight="1" x14ac:dyDescent="0.25">
      <c r="A242" s="251"/>
      <c r="B242" s="275"/>
      <c r="C242" s="17" t="s">
        <v>348</v>
      </c>
      <c r="D242" s="18" t="s">
        <v>289</v>
      </c>
      <c r="E242" s="17">
        <v>238.67</v>
      </c>
      <c r="F242" s="142">
        <v>15</v>
      </c>
      <c r="G242" s="197">
        <f>E242*F242</f>
        <v>3580.0499999999997</v>
      </c>
      <c r="H242" s="192">
        <f t="shared" si="33"/>
        <v>1193.3499999999999</v>
      </c>
      <c r="I242" s="35"/>
      <c r="J242" s="35">
        <f t="shared" si="31"/>
        <v>4773.3999999999996</v>
      </c>
      <c r="K242" s="35">
        <v>160.71</v>
      </c>
      <c r="L242" s="35"/>
      <c r="M242" s="193"/>
      <c r="N242" s="35"/>
      <c r="O242" s="35"/>
      <c r="P242" s="35">
        <f t="shared" si="32"/>
        <v>160.71</v>
      </c>
      <c r="Q242" s="203">
        <f t="shared" si="30"/>
        <v>4612.6899999999996</v>
      </c>
      <c r="R242" s="34"/>
    </row>
    <row r="243" spans="1:18" ht="70.7" customHeight="1" thickBot="1" x14ac:dyDescent="0.3">
      <c r="A243" s="252"/>
      <c r="B243" s="275"/>
      <c r="C243" s="17" t="s">
        <v>348</v>
      </c>
      <c r="D243" s="18" t="s">
        <v>290</v>
      </c>
      <c r="E243" s="17">
        <v>238.67</v>
      </c>
      <c r="F243" s="142">
        <v>15</v>
      </c>
      <c r="G243" s="204">
        <f>E243*F243</f>
        <v>3580.0499999999997</v>
      </c>
      <c r="H243" s="192">
        <f t="shared" si="33"/>
        <v>1193.3499999999999</v>
      </c>
      <c r="I243" s="44"/>
      <c r="J243" s="35">
        <f t="shared" si="31"/>
        <v>4773.3999999999996</v>
      </c>
      <c r="K243" s="44">
        <v>160.71</v>
      </c>
      <c r="L243" s="44"/>
      <c r="M243" s="205"/>
      <c r="N243" s="44"/>
      <c r="O243" s="44"/>
      <c r="P243" s="35">
        <f t="shared" si="32"/>
        <v>160.71</v>
      </c>
      <c r="Q243" s="203">
        <f t="shared" si="30"/>
        <v>4612.6899999999996</v>
      </c>
      <c r="R243" s="34"/>
    </row>
    <row r="244" spans="1:18" ht="70.7" customHeight="1" thickBot="1" x14ac:dyDescent="0.3">
      <c r="A244" s="289" t="s">
        <v>426</v>
      </c>
      <c r="B244" s="290"/>
      <c r="C244" s="290"/>
      <c r="D244" s="290"/>
      <c r="E244" s="290"/>
      <c r="F244" s="291"/>
      <c r="G244" s="45">
        <f>SUM(G22:G243)</f>
        <v>819014.39999999979</v>
      </c>
      <c r="H244" s="45">
        <f t="shared" ref="H244:Q244" si="35">SUM(H22:H243)</f>
        <v>260296.17400000014</v>
      </c>
      <c r="I244" s="45">
        <f t="shared" si="35"/>
        <v>1517.1000000000001</v>
      </c>
      <c r="J244" s="45">
        <f t="shared" si="35"/>
        <v>1080827.6740000006</v>
      </c>
      <c r="K244" s="45">
        <f t="shared" si="35"/>
        <v>58236.640000000065</v>
      </c>
      <c r="L244" s="45">
        <f t="shared" si="35"/>
        <v>3899.4721297900001</v>
      </c>
      <c r="M244" s="45">
        <f t="shared" si="35"/>
        <v>7496.84</v>
      </c>
      <c r="N244" s="45">
        <f t="shared" si="35"/>
        <v>3125.3300000000013</v>
      </c>
      <c r="O244" s="45">
        <f t="shared" si="35"/>
        <v>7811.1150000000025</v>
      </c>
      <c r="P244" s="45">
        <f t="shared" si="35"/>
        <v>80569.397129789912</v>
      </c>
      <c r="Q244" s="45">
        <f t="shared" si="35"/>
        <v>1000258.2768702103</v>
      </c>
      <c r="R244" s="46"/>
    </row>
    <row r="245" spans="1:18" ht="70.7" customHeight="1" x14ac:dyDescent="0.3">
      <c r="A245" s="47"/>
      <c r="B245" s="47"/>
      <c r="C245" s="48"/>
      <c r="D245" s="48"/>
      <c r="E245" s="48"/>
      <c r="F245" s="145"/>
      <c r="G245" s="206"/>
      <c r="H245" s="206"/>
      <c r="I245" s="50"/>
      <c r="J245" s="50"/>
      <c r="K245" s="50"/>
      <c r="L245" s="50"/>
      <c r="M245" s="207"/>
      <c r="N245" s="50"/>
      <c r="O245" s="50"/>
      <c r="P245" s="50"/>
      <c r="Q245" s="207"/>
      <c r="R245" s="49"/>
    </row>
    <row r="246" spans="1:18" ht="70.7" customHeight="1" x14ac:dyDescent="0.3">
      <c r="A246" s="47"/>
      <c r="B246" s="47"/>
      <c r="C246" s="48"/>
      <c r="D246" s="48"/>
      <c r="E246" s="48"/>
      <c r="F246" s="145"/>
      <c r="G246" s="206"/>
      <c r="H246" s="206"/>
      <c r="I246" s="50"/>
      <c r="J246" s="50"/>
      <c r="K246" s="50"/>
      <c r="L246" s="50"/>
      <c r="M246" s="207"/>
      <c r="N246" s="50"/>
      <c r="O246" s="50"/>
      <c r="P246" s="50"/>
      <c r="Q246" s="207"/>
      <c r="R246" s="49"/>
    </row>
    <row r="247" spans="1:18" ht="70.7" customHeight="1" x14ac:dyDescent="0.3">
      <c r="A247" s="47"/>
      <c r="B247" s="47"/>
      <c r="C247" s="48"/>
      <c r="D247" s="48"/>
      <c r="E247" s="48"/>
      <c r="F247" s="145"/>
      <c r="G247" s="206"/>
      <c r="H247" s="206"/>
      <c r="I247" s="50"/>
      <c r="J247" s="50"/>
      <c r="K247" s="50"/>
      <c r="L247" s="50"/>
      <c r="M247" s="207"/>
      <c r="N247" s="50"/>
      <c r="O247" s="50"/>
      <c r="P247" s="50"/>
      <c r="Q247" s="207"/>
      <c r="R247" s="49"/>
    </row>
    <row r="248" spans="1:18" ht="70.7" customHeight="1" x14ac:dyDescent="0.3">
      <c r="A248" s="47"/>
      <c r="B248" s="47"/>
      <c r="C248" s="48"/>
      <c r="D248" s="48"/>
      <c r="E248" s="48"/>
      <c r="F248" s="145"/>
      <c r="G248" s="206"/>
      <c r="H248" s="206"/>
      <c r="I248" s="50"/>
      <c r="J248" s="50"/>
      <c r="K248" s="50"/>
      <c r="L248" s="50"/>
      <c r="M248" s="207"/>
      <c r="N248" s="50"/>
      <c r="O248" s="50"/>
      <c r="P248" s="50"/>
      <c r="Q248" s="207"/>
      <c r="R248" s="49"/>
    </row>
    <row r="249" spans="1:18" ht="70.7" customHeight="1" x14ac:dyDescent="0.3">
      <c r="A249" s="47"/>
      <c r="B249" s="47"/>
      <c r="C249" s="48"/>
      <c r="D249" s="48"/>
      <c r="E249" s="48"/>
      <c r="F249" s="145"/>
      <c r="G249" s="206"/>
      <c r="H249" s="206"/>
      <c r="I249" s="50"/>
      <c r="J249" s="50"/>
      <c r="K249" s="50"/>
      <c r="L249" s="50"/>
      <c r="M249" s="207"/>
      <c r="N249" s="50"/>
      <c r="O249" s="50"/>
      <c r="P249" s="50"/>
      <c r="Q249" s="207"/>
      <c r="R249" s="49"/>
    </row>
    <row r="250" spans="1:18" ht="70.7" customHeight="1" x14ac:dyDescent="0.3">
      <c r="A250" s="47"/>
      <c r="B250" s="47"/>
      <c r="C250" s="48"/>
      <c r="D250" s="48"/>
      <c r="E250" s="48"/>
      <c r="F250" s="145"/>
      <c r="G250" s="206"/>
      <c r="H250" s="206"/>
      <c r="I250" s="50"/>
      <c r="J250" s="50"/>
      <c r="K250" s="50"/>
      <c r="L250" s="50"/>
      <c r="M250" s="207"/>
      <c r="N250" s="50"/>
      <c r="O250" s="50"/>
      <c r="P250" s="50"/>
      <c r="Q250" s="207"/>
      <c r="R250" s="49"/>
    </row>
    <row r="251" spans="1:18" ht="70.7" customHeight="1" x14ac:dyDescent="0.3">
      <c r="A251" s="47"/>
      <c r="B251" s="47"/>
      <c r="C251" s="48"/>
      <c r="D251" s="48"/>
      <c r="E251" s="48"/>
      <c r="F251" s="145"/>
      <c r="G251" s="206"/>
      <c r="H251" s="206"/>
      <c r="I251" s="50"/>
      <c r="J251" s="50"/>
      <c r="K251" s="50"/>
      <c r="L251" s="50"/>
      <c r="M251" s="207"/>
      <c r="N251" s="50"/>
      <c r="O251" s="50"/>
      <c r="P251" s="50"/>
      <c r="Q251" s="207"/>
      <c r="R251" s="49"/>
    </row>
    <row r="252" spans="1:18" ht="70.7" customHeight="1" thickBot="1" x14ac:dyDescent="0.35">
      <c r="A252" s="47"/>
      <c r="B252" s="47"/>
      <c r="C252" s="48"/>
      <c r="D252" s="48"/>
      <c r="E252" s="48"/>
      <c r="F252" s="145"/>
      <c r="G252" s="206"/>
      <c r="H252" s="206"/>
      <c r="I252" s="50"/>
      <c r="J252" s="50"/>
      <c r="K252" s="50"/>
      <c r="L252" s="50"/>
      <c r="M252" s="207"/>
      <c r="N252" s="50"/>
      <c r="O252" s="50"/>
      <c r="P252" s="50"/>
      <c r="Q252" s="207"/>
      <c r="R252" s="49"/>
    </row>
    <row r="253" spans="1:18" ht="70.7" customHeight="1" thickBot="1" x14ac:dyDescent="0.3">
      <c r="A253" s="286" t="s">
        <v>389</v>
      </c>
      <c r="B253" s="287"/>
      <c r="C253" s="287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8"/>
    </row>
    <row r="254" spans="1:18" ht="70.7" customHeight="1" thickBot="1" x14ac:dyDescent="0.35">
      <c r="A254" s="332"/>
      <c r="B254" s="333"/>
      <c r="C254" s="333"/>
      <c r="D254" s="334"/>
      <c r="E254" s="327" t="s">
        <v>414</v>
      </c>
      <c r="F254" s="328"/>
      <c r="G254" s="328"/>
      <c r="H254" s="328"/>
      <c r="I254" s="328"/>
      <c r="J254" s="329"/>
      <c r="K254" s="340" t="s">
        <v>419</v>
      </c>
      <c r="L254" s="341"/>
      <c r="M254" s="341"/>
      <c r="N254" s="341"/>
      <c r="O254" s="341"/>
      <c r="P254" s="342"/>
      <c r="Q254" s="292"/>
      <c r="R254" s="293"/>
    </row>
    <row r="255" spans="1:18" ht="70.7" customHeight="1" thickBot="1" x14ac:dyDescent="0.3">
      <c r="A255" s="51" t="s">
        <v>1</v>
      </c>
      <c r="B255" s="52" t="s">
        <v>0</v>
      </c>
      <c r="C255" s="52" t="s">
        <v>2</v>
      </c>
      <c r="D255" s="65" t="s">
        <v>3</v>
      </c>
      <c r="E255" s="126" t="s">
        <v>4</v>
      </c>
      <c r="F255" s="146" t="s">
        <v>425</v>
      </c>
      <c r="G255" s="208" t="s">
        <v>417</v>
      </c>
      <c r="H255" s="209" t="s">
        <v>619</v>
      </c>
      <c r="I255" s="208" t="s">
        <v>418</v>
      </c>
      <c r="J255" s="210" t="s">
        <v>421</v>
      </c>
      <c r="K255" s="211" t="s">
        <v>415</v>
      </c>
      <c r="L255" s="208" t="s">
        <v>416</v>
      </c>
      <c r="M255" s="212" t="s">
        <v>509</v>
      </c>
      <c r="N255" s="208" t="s">
        <v>432</v>
      </c>
      <c r="O255" s="208" t="s">
        <v>420</v>
      </c>
      <c r="P255" s="210" t="s">
        <v>422</v>
      </c>
      <c r="Q255" s="213" t="s">
        <v>423</v>
      </c>
      <c r="R255" s="53" t="s">
        <v>424</v>
      </c>
    </row>
    <row r="256" spans="1:18" ht="70.7" customHeight="1" x14ac:dyDescent="0.25">
      <c r="A256" s="250" t="s">
        <v>389</v>
      </c>
      <c r="B256" s="338"/>
      <c r="C256" s="54" t="s">
        <v>390</v>
      </c>
      <c r="D256" s="18" t="s">
        <v>391</v>
      </c>
      <c r="E256" s="36">
        <v>66.42</v>
      </c>
      <c r="F256" s="141">
        <v>15</v>
      </c>
      <c r="G256" s="197">
        <f t="shared" ref="G256:G272" si="36">E256*F256</f>
        <v>996.30000000000007</v>
      </c>
      <c r="H256" s="197"/>
      <c r="I256" s="56"/>
      <c r="J256" s="56">
        <f>G256+I256+H256</f>
        <v>996.30000000000007</v>
      </c>
      <c r="K256" s="56"/>
      <c r="L256" s="56"/>
      <c r="M256" s="214"/>
      <c r="N256" s="56"/>
      <c r="O256" s="56"/>
      <c r="P256" s="56">
        <f>K256+L256+N256+O256+M256</f>
        <v>0</v>
      </c>
      <c r="Q256" s="215">
        <f t="shared" ref="Q256:Q272" si="37">J256-P256</f>
        <v>996.30000000000007</v>
      </c>
      <c r="R256" s="55"/>
    </row>
    <row r="257" spans="1:18" ht="70.7" customHeight="1" x14ac:dyDescent="0.25">
      <c r="A257" s="251"/>
      <c r="B257" s="339"/>
      <c r="C257" s="54" t="s">
        <v>390</v>
      </c>
      <c r="D257" s="18" t="s">
        <v>392</v>
      </c>
      <c r="E257" s="36">
        <v>162</v>
      </c>
      <c r="F257" s="141">
        <v>15</v>
      </c>
      <c r="G257" s="197">
        <f t="shared" si="36"/>
        <v>2430</v>
      </c>
      <c r="H257" s="197"/>
      <c r="I257" s="56"/>
      <c r="J257" s="56">
        <f t="shared" ref="J257:J272" si="38">G257+I257+H257</f>
        <v>2430</v>
      </c>
      <c r="K257" s="56"/>
      <c r="L257" s="56"/>
      <c r="M257" s="214"/>
      <c r="N257" s="56"/>
      <c r="O257" s="56"/>
      <c r="P257" s="56">
        <f t="shared" ref="P257:P272" si="39">K257+L257+N257+O257+M257</f>
        <v>0</v>
      </c>
      <c r="Q257" s="214">
        <f t="shared" si="37"/>
        <v>2430</v>
      </c>
      <c r="R257" s="55"/>
    </row>
    <row r="258" spans="1:18" ht="70.7" customHeight="1" x14ac:dyDescent="0.25">
      <c r="A258" s="251"/>
      <c r="B258" s="339"/>
      <c r="C258" s="54" t="s">
        <v>390</v>
      </c>
      <c r="D258" s="18" t="s">
        <v>393</v>
      </c>
      <c r="E258" s="36">
        <v>142.19999999999999</v>
      </c>
      <c r="F258" s="141">
        <v>15</v>
      </c>
      <c r="G258" s="197">
        <f t="shared" si="36"/>
        <v>2133</v>
      </c>
      <c r="H258" s="197"/>
      <c r="I258" s="56"/>
      <c r="J258" s="56">
        <f t="shared" si="38"/>
        <v>2133</v>
      </c>
      <c r="K258" s="56"/>
      <c r="L258" s="56"/>
      <c r="M258" s="214"/>
      <c r="N258" s="56"/>
      <c r="O258" s="56"/>
      <c r="P258" s="56">
        <f t="shared" si="39"/>
        <v>0</v>
      </c>
      <c r="Q258" s="216">
        <f t="shared" si="37"/>
        <v>2133</v>
      </c>
      <c r="R258" s="55"/>
    </row>
    <row r="259" spans="1:18" ht="70.7" customHeight="1" x14ac:dyDescent="0.25">
      <c r="A259" s="251"/>
      <c r="B259" s="339"/>
      <c r="C259" s="54" t="s">
        <v>390</v>
      </c>
      <c r="D259" s="18" t="s">
        <v>394</v>
      </c>
      <c r="E259" s="36">
        <v>225.69</v>
      </c>
      <c r="F259" s="141">
        <v>15</v>
      </c>
      <c r="G259" s="197">
        <f t="shared" si="36"/>
        <v>3385.35</v>
      </c>
      <c r="H259" s="197"/>
      <c r="I259" s="56"/>
      <c r="J259" s="56">
        <f t="shared" si="38"/>
        <v>3385.35</v>
      </c>
      <c r="K259" s="56"/>
      <c r="L259" s="56"/>
      <c r="M259" s="214"/>
      <c r="N259" s="56"/>
      <c r="O259" s="56"/>
      <c r="P259" s="56">
        <f t="shared" si="39"/>
        <v>0</v>
      </c>
      <c r="Q259" s="217">
        <f t="shared" si="37"/>
        <v>3385.35</v>
      </c>
      <c r="R259" s="55"/>
    </row>
    <row r="260" spans="1:18" ht="70.7" customHeight="1" x14ac:dyDescent="0.25">
      <c r="A260" s="251"/>
      <c r="B260" s="339"/>
      <c r="C260" s="54" t="s">
        <v>390</v>
      </c>
      <c r="D260" s="18" t="s">
        <v>395</v>
      </c>
      <c r="E260" s="36">
        <v>145.30000000000001</v>
      </c>
      <c r="F260" s="141">
        <v>15</v>
      </c>
      <c r="G260" s="197">
        <f t="shared" si="36"/>
        <v>2179.5</v>
      </c>
      <c r="H260" s="197"/>
      <c r="I260" s="56"/>
      <c r="J260" s="56">
        <f t="shared" si="38"/>
        <v>2179.5</v>
      </c>
      <c r="K260" s="56"/>
      <c r="L260" s="56"/>
      <c r="M260" s="214"/>
      <c r="N260" s="56"/>
      <c r="O260" s="56"/>
      <c r="P260" s="56">
        <f t="shared" si="39"/>
        <v>0</v>
      </c>
      <c r="Q260" s="214">
        <f t="shared" si="37"/>
        <v>2179.5</v>
      </c>
      <c r="R260" s="55"/>
    </row>
    <row r="261" spans="1:18" ht="70.7" customHeight="1" x14ac:dyDescent="0.25">
      <c r="A261" s="251"/>
      <c r="B261" s="339"/>
      <c r="C261" s="54" t="s">
        <v>390</v>
      </c>
      <c r="D261" s="18" t="s">
        <v>396</v>
      </c>
      <c r="E261" s="36">
        <v>154.29</v>
      </c>
      <c r="F261" s="141">
        <v>15</v>
      </c>
      <c r="G261" s="197">
        <f t="shared" si="36"/>
        <v>2314.35</v>
      </c>
      <c r="H261" s="197"/>
      <c r="I261" s="56"/>
      <c r="J261" s="56">
        <f t="shared" si="38"/>
        <v>2314.35</v>
      </c>
      <c r="K261" s="56"/>
      <c r="L261" s="56">
        <f>G261*1.1875%</f>
        <v>27.482906249999999</v>
      </c>
      <c r="M261" s="214"/>
      <c r="N261" s="56"/>
      <c r="O261" s="56"/>
      <c r="P261" s="56">
        <f t="shared" si="39"/>
        <v>27.482906249999999</v>
      </c>
      <c r="Q261" s="214">
        <f t="shared" si="37"/>
        <v>2286.8670937500001</v>
      </c>
      <c r="R261" s="55"/>
    </row>
    <row r="262" spans="1:18" ht="70.7" customHeight="1" x14ac:dyDescent="0.25">
      <c r="A262" s="251"/>
      <c r="B262" s="339"/>
      <c r="C262" s="54" t="s">
        <v>390</v>
      </c>
      <c r="D262" s="18" t="s">
        <v>397</v>
      </c>
      <c r="E262" s="36">
        <v>152.27000000000001</v>
      </c>
      <c r="F262" s="141">
        <v>15</v>
      </c>
      <c r="G262" s="197">
        <f t="shared" si="36"/>
        <v>2284.0500000000002</v>
      </c>
      <c r="H262" s="197"/>
      <c r="I262" s="56"/>
      <c r="J262" s="56">
        <f t="shared" si="38"/>
        <v>2284.0500000000002</v>
      </c>
      <c r="K262" s="56"/>
      <c r="L262" s="56">
        <f>G262*1.1875%</f>
        <v>27.123093750000002</v>
      </c>
      <c r="M262" s="214"/>
      <c r="N262" s="56"/>
      <c r="O262" s="56"/>
      <c r="P262" s="56">
        <f t="shared" si="39"/>
        <v>27.123093750000002</v>
      </c>
      <c r="Q262" s="217">
        <f t="shared" si="37"/>
        <v>2256.9269062500002</v>
      </c>
      <c r="R262" s="55"/>
    </row>
    <row r="263" spans="1:18" ht="70.7" customHeight="1" x14ac:dyDescent="0.25">
      <c r="A263" s="251"/>
      <c r="B263" s="339"/>
      <c r="C263" s="54" t="s">
        <v>390</v>
      </c>
      <c r="D263" s="18" t="s">
        <v>398</v>
      </c>
      <c r="E263" s="36">
        <v>225.89</v>
      </c>
      <c r="F263" s="141">
        <v>15</v>
      </c>
      <c r="G263" s="197">
        <f t="shared" si="36"/>
        <v>3388.35</v>
      </c>
      <c r="H263" s="197"/>
      <c r="I263" s="56"/>
      <c r="J263" s="56">
        <f t="shared" si="38"/>
        <v>3388.35</v>
      </c>
      <c r="K263" s="56"/>
      <c r="L263" s="56"/>
      <c r="M263" s="214"/>
      <c r="N263" s="56"/>
      <c r="O263" s="56"/>
      <c r="P263" s="56">
        <f t="shared" si="39"/>
        <v>0</v>
      </c>
      <c r="Q263" s="214">
        <f t="shared" si="37"/>
        <v>3388.35</v>
      </c>
      <c r="R263" s="55"/>
    </row>
    <row r="264" spans="1:18" ht="70.7" customHeight="1" x14ac:dyDescent="0.25">
      <c r="A264" s="251"/>
      <c r="B264" s="339"/>
      <c r="C264" s="54" t="s">
        <v>390</v>
      </c>
      <c r="D264" s="18" t="s">
        <v>399</v>
      </c>
      <c r="E264" s="36">
        <v>205.38</v>
      </c>
      <c r="F264" s="141">
        <v>15</v>
      </c>
      <c r="G264" s="197">
        <f t="shared" si="36"/>
        <v>3080.7</v>
      </c>
      <c r="H264" s="197"/>
      <c r="I264" s="56"/>
      <c r="J264" s="56">
        <f t="shared" si="38"/>
        <v>3080.7</v>
      </c>
      <c r="K264" s="56"/>
      <c r="L264" s="56">
        <f>G264*1.1875%</f>
        <v>36.583312499999998</v>
      </c>
      <c r="M264" s="214"/>
      <c r="N264" s="56"/>
      <c r="O264" s="56"/>
      <c r="P264" s="56">
        <f t="shared" si="39"/>
        <v>36.583312499999998</v>
      </c>
      <c r="Q264" s="217">
        <f t="shared" si="37"/>
        <v>3044.1166874999999</v>
      </c>
      <c r="R264" s="57"/>
    </row>
    <row r="265" spans="1:18" ht="70.7" customHeight="1" x14ac:dyDescent="0.25">
      <c r="A265" s="251"/>
      <c r="B265" s="339"/>
      <c r="C265" s="54" t="s">
        <v>390</v>
      </c>
      <c r="D265" s="18" t="s">
        <v>400</v>
      </c>
      <c r="E265" s="36">
        <v>211.56</v>
      </c>
      <c r="F265" s="141">
        <v>15</v>
      </c>
      <c r="G265" s="197">
        <f t="shared" si="36"/>
        <v>3173.4</v>
      </c>
      <c r="H265" s="197"/>
      <c r="I265" s="56"/>
      <c r="J265" s="56">
        <f t="shared" si="38"/>
        <v>3173.4</v>
      </c>
      <c r="K265" s="56"/>
      <c r="L265" s="56"/>
      <c r="M265" s="214"/>
      <c r="N265" s="56"/>
      <c r="O265" s="56"/>
      <c r="P265" s="56">
        <f t="shared" si="39"/>
        <v>0</v>
      </c>
      <c r="Q265" s="218">
        <f t="shared" si="37"/>
        <v>3173.4</v>
      </c>
      <c r="R265" s="55"/>
    </row>
    <row r="266" spans="1:18" ht="70.7" customHeight="1" x14ac:dyDescent="0.25">
      <c r="A266" s="251"/>
      <c r="B266" s="339"/>
      <c r="C266" s="54" t="s">
        <v>390</v>
      </c>
      <c r="D266" s="18" t="s">
        <v>401</v>
      </c>
      <c r="E266" s="36">
        <v>90.13</v>
      </c>
      <c r="F266" s="141">
        <v>15</v>
      </c>
      <c r="G266" s="197">
        <f t="shared" si="36"/>
        <v>1351.9499999999998</v>
      </c>
      <c r="H266" s="197"/>
      <c r="I266" s="56"/>
      <c r="J266" s="56">
        <f t="shared" si="38"/>
        <v>1351.9499999999998</v>
      </c>
      <c r="K266" s="56"/>
      <c r="L266" s="56"/>
      <c r="M266" s="214"/>
      <c r="N266" s="56"/>
      <c r="O266" s="56"/>
      <c r="P266" s="56">
        <f t="shared" si="39"/>
        <v>0</v>
      </c>
      <c r="Q266" s="214">
        <f t="shared" si="37"/>
        <v>1351.9499999999998</v>
      </c>
      <c r="R266" s="55"/>
    </row>
    <row r="267" spans="1:18" ht="70.7" customHeight="1" x14ac:dyDescent="0.25">
      <c r="A267" s="251"/>
      <c r="B267" s="339"/>
      <c r="C267" s="54" t="s">
        <v>390</v>
      </c>
      <c r="D267" s="18" t="s">
        <v>402</v>
      </c>
      <c r="E267" s="36">
        <v>207.79</v>
      </c>
      <c r="F267" s="141">
        <v>15</v>
      </c>
      <c r="G267" s="197">
        <f t="shared" si="36"/>
        <v>3116.85</v>
      </c>
      <c r="H267" s="197"/>
      <c r="I267" s="56"/>
      <c r="J267" s="56">
        <f t="shared" si="38"/>
        <v>3116.85</v>
      </c>
      <c r="K267" s="56"/>
      <c r="L267" s="56">
        <f>G267*1.1875%</f>
        <v>37.012593750000001</v>
      </c>
      <c r="M267" s="56"/>
      <c r="N267" s="56"/>
      <c r="O267" s="56"/>
      <c r="P267" s="56">
        <f t="shared" si="39"/>
        <v>37.012593750000001</v>
      </c>
      <c r="Q267" s="217">
        <f t="shared" si="37"/>
        <v>3079.8374062499997</v>
      </c>
      <c r="R267" s="55"/>
    </row>
    <row r="268" spans="1:18" ht="70.7" customHeight="1" x14ac:dyDescent="0.25">
      <c r="A268" s="251"/>
      <c r="B268" s="339"/>
      <c r="C268" s="54" t="s">
        <v>390</v>
      </c>
      <c r="D268" s="18" t="s">
        <v>403</v>
      </c>
      <c r="E268" s="36">
        <v>131.66999999999999</v>
      </c>
      <c r="F268" s="141">
        <v>15</v>
      </c>
      <c r="G268" s="197">
        <f t="shared" si="36"/>
        <v>1975.0499999999997</v>
      </c>
      <c r="H268" s="197"/>
      <c r="I268" s="56"/>
      <c r="J268" s="56">
        <f t="shared" si="38"/>
        <v>1975.0499999999997</v>
      </c>
      <c r="K268" s="56"/>
      <c r="L268" s="56">
        <f>G268*1.1875%</f>
        <v>23.453718749999997</v>
      </c>
      <c r="M268" s="214"/>
      <c r="N268" s="56"/>
      <c r="O268" s="56"/>
      <c r="P268" s="56">
        <f t="shared" si="39"/>
        <v>23.453718749999997</v>
      </c>
      <c r="Q268" s="214">
        <f t="shared" si="37"/>
        <v>1951.5962812499997</v>
      </c>
      <c r="R268" s="55"/>
    </row>
    <row r="269" spans="1:18" ht="70.7" customHeight="1" x14ac:dyDescent="0.25">
      <c r="A269" s="251"/>
      <c r="B269" s="339"/>
      <c r="C269" s="54" t="s">
        <v>390</v>
      </c>
      <c r="D269" s="18" t="s">
        <v>404</v>
      </c>
      <c r="E269" s="36">
        <v>190.94</v>
      </c>
      <c r="F269" s="141">
        <v>15</v>
      </c>
      <c r="G269" s="197">
        <f t="shared" si="36"/>
        <v>2864.1</v>
      </c>
      <c r="H269" s="197"/>
      <c r="I269" s="56"/>
      <c r="J269" s="56">
        <f t="shared" si="38"/>
        <v>2864.1</v>
      </c>
      <c r="K269" s="56"/>
      <c r="L269" s="56"/>
      <c r="M269" s="214"/>
      <c r="N269" s="56"/>
      <c r="O269" s="56"/>
      <c r="P269" s="56">
        <f t="shared" si="39"/>
        <v>0</v>
      </c>
      <c r="Q269" s="214">
        <f t="shared" si="37"/>
        <v>2864.1</v>
      </c>
      <c r="R269" s="55"/>
    </row>
    <row r="270" spans="1:18" ht="70.7" customHeight="1" x14ac:dyDescent="0.25">
      <c r="A270" s="251"/>
      <c r="B270" s="339"/>
      <c r="C270" s="54" t="s">
        <v>390</v>
      </c>
      <c r="D270" s="18" t="s">
        <v>405</v>
      </c>
      <c r="E270" s="36">
        <v>105.18</v>
      </c>
      <c r="F270" s="141">
        <v>15</v>
      </c>
      <c r="G270" s="197">
        <f t="shared" si="36"/>
        <v>1577.7</v>
      </c>
      <c r="H270" s="197"/>
      <c r="I270" s="56"/>
      <c r="J270" s="56">
        <f t="shared" si="38"/>
        <v>1577.7</v>
      </c>
      <c r="K270" s="56"/>
      <c r="L270" s="56"/>
      <c r="M270" s="214"/>
      <c r="N270" s="56"/>
      <c r="O270" s="56"/>
      <c r="P270" s="56">
        <f t="shared" si="39"/>
        <v>0</v>
      </c>
      <c r="Q270" s="214">
        <f t="shared" si="37"/>
        <v>1577.7</v>
      </c>
      <c r="R270" s="21"/>
    </row>
    <row r="271" spans="1:18" ht="70.7" customHeight="1" x14ac:dyDescent="0.25">
      <c r="A271" s="246" t="s">
        <v>389</v>
      </c>
      <c r="B271" s="247"/>
      <c r="C271" s="149" t="s">
        <v>390</v>
      </c>
      <c r="D271" s="25" t="s">
        <v>406</v>
      </c>
      <c r="E271" s="43">
        <v>225.21</v>
      </c>
      <c r="F271" s="150">
        <v>15</v>
      </c>
      <c r="G271" s="204">
        <f t="shared" si="36"/>
        <v>3378.15</v>
      </c>
      <c r="H271" s="204"/>
      <c r="I271" s="151"/>
      <c r="J271" s="151">
        <f t="shared" si="38"/>
        <v>3378.15</v>
      </c>
      <c r="K271" s="151"/>
      <c r="L271" s="151">
        <f>G271*1.18785%</f>
        <v>40.127354775000001</v>
      </c>
      <c r="M271" s="219"/>
      <c r="N271" s="151"/>
      <c r="O271" s="151"/>
      <c r="P271" s="151">
        <f t="shared" si="39"/>
        <v>40.127354775000001</v>
      </c>
      <c r="Q271" s="219">
        <f t="shared" si="37"/>
        <v>3338.0226452249999</v>
      </c>
      <c r="R271" s="21"/>
    </row>
    <row r="272" spans="1:18" ht="70.7" customHeight="1" x14ac:dyDescent="0.25">
      <c r="A272" s="248"/>
      <c r="B272" s="249"/>
      <c r="C272" s="54" t="s">
        <v>390</v>
      </c>
      <c r="D272" s="18" t="s">
        <v>433</v>
      </c>
      <c r="E272" s="36">
        <v>202.46</v>
      </c>
      <c r="F272" s="141">
        <v>15</v>
      </c>
      <c r="G272" s="197">
        <f t="shared" si="36"/>
        <v>3036.9</v>
      </c>
      <c r="H272" s="197"/>
      <c r="I272" s="56"/>
      <c r="J272" s="56">
        <f t="shared" si="38"/>
        <v>3036.9</v>
      </c>
      <c r="K272" s="56"/>
      <c r="L272" s="56"/>
      <c r="M272" s="214"/>
      <c r="N272" s="56"/>
      <c r="O272" s="56"/>
      <c r="P272" s="56">
        <f t="shared" si="39"/>
        <v>0</v>
      </c>
      <c r="Q272" s="214">
        <f t="shared" si="37"/>
        <v>3036.9</v>
      </c>
      <c r="R272" s="21"/>
    </row>
    <row r="273" spans="1:18" ht="70.7" customHeight="1" thickBot="1" x14ac:dyDescent="0.3">
      <c r="A273" s="330" t="s">
        <v>427</v>
      </c>
      <c r="B273" s="331"/>
      <c r="C273" s="331"/>
      <c r="D273" s="331"/>
      <c r="E273" s="331"/>
      <c r="F273" s="331"/>
      <c r="G273" s="152">
        <f>SUM(G256:G272)</f>
        <v>42665.7</v>
      </c>
      <c r="H273" s="152">
        <f t="shared" ref="H273:Q273" si="40">SUM(H256:H272)</f>
        <v>0</v>
      </c>
      <c r="I273" s="152">
        <f t="shared" si="40"/>
        <v>0</v>
      </c>
      <c r="J273" s="152">
        <f t="shared" si="40"/>
        <v>42665.7</v>
      </c>
      <c r="K273" s="152">
        <f t="shared" si="40"/>
        <v>0</v>
      </c>
      <c r="L273" s="152">
        <f t="shared" si="40"/>
        <v>191.782979775</v>
      </c>
      <c r="M273" s="152">
        <f t="shared" si="40"/>
        <v>0</v>
      </c>
      <c r="N273" s="152">
        <f t="shared" si="40"/>
        <v>0</v>
      </c>
      <c r="O273" s="152">
        <f t="shared" si="40"/>
        <v>0</v>
      </c>
      <c r="P273" s="152">
        <f t="shared" si="40"/>
        <v>191.782979775</v>
      </c>
      <c r="Q273" s="152">
        <f t="shared" si="40"/>
        <v>42473.917020225002</v>
      </c>
      <c r="R273" s="58"/>
    </row>
    <row r="274" spans="1:18" ht="70.7" customHeight="1" x14ac:dyDescent="0.25">
      <c r="A274" s="59"/>
      <c r="B274" s="59"/>
      <c r="C274" s="59"/>
      <c r="D274" s="59"/>
      <c r="E274" s="59"/>
      <c r="F274" s="147"/>
      <c r="G274" s="60"/>
      <c r="H274" s="60"/>
      <c r="I274" s="60"/>
      <c r="J274" s="60"/>
      <c r="K274" s="60"/>
      <c r="L274" s="60"/>
      <c r="M274" s="220"/>
      <c r="N274" s="60"/>
      <c r="O274" s="60"/>
      <c r="P274" s="60"/>
      <c r="Q274" s="220"/>
      <c r="R274" s="58"/>
    </row>
    <row r="275" spans="1:18" ht="70.7" customHeight="1" x14ac:dyDescent="0.25">
      <c r="A275" s="59"/>
      <c r="B275" s="59"/>
      <c r="C275" s="59"/>
      <c r="D275" s="59"/>
      <c r="E275" s="59"/>
      <c r="F275" s="147"/>
      <c r="G275" s="60"/>
      <c r="H275" s="60"/>
      <c r="I275" s="60"/>
      <c r="J275" s="60"/>
      <c r="K275" s="60"/>
      <c r="L275" s="60"/>
      <c r="M275" s="220"/>
      <c r="N275" s="60"/>
      <c r="O275" s="60"/>
      <c r="P275" s="60"/>
      <c r="Q275" s="220"/>
      <c r="R275" s="58"/>
    </row>
    <row r="276" spans="1:18" ht="70.7" customHeight="1" x14ac:dyDescent="0.25">
      <c r="R276" s="58"/>
    </row>
    <row r="277" spans="1:18" ht="70.7" customHeight="1" x14ac:dyDescent="0.25">
      <c r="A277" s="59"/>
      <c r="B277" s="59"/>
      <c r="C277" s="59"/>
      <c r="D277" s="59"/>
      <c r="E277" s="59"/>
      <c r="F277" s="147"/>
      <c r="G277" s="60"/>
      <c r="H277" s="60"/>
      <c r="I277" s="60"/>
      <c r="J277" s="60"/>
      <c r="K277" s="60"/>
      <c r="L277" s="60"/>
      <c r="M277" s="220"/>
      <c r="N277" s="60"/>
      <c r="O277" s="60"/>
      <c r="P277" s="60"/>
      <c r="Q277" s="220"/>
      <c r="R277" s="58"/>
    </row>
    <row r="278" spans="1:18" ht="70.7" customHeight="1" thickBot="1" x14ac:dyDescent="0.3">
      <c r="A278" s="59"/>
      <c r="B278" s="59"/>
      <c r="C278" s="59"/>
      <c r="D278" s="59"/>
      <c r="E278" s="59"/>
      <c r="F278" s="147"/>
      <c r="G278" s="60"/>
      <c r="H278" s="60"/>
      <c r="I278" s="60"/>
      <c r="J278" s="60"/>
      <c r="K278" s="60"/>
      <c r="L278" s="60"/>
      <c r="M278" s="220"/>
      <c r="N278" s="60"/>
      <c r="O278" s="60"/>
      <c r="P278" s="60"/>
      <c r="Q278" s="220"/>
      <c r="R278" s="58"/>
    </row>
    <row r="279" spans="1:18" ht="70.7" customHeight="1" thickBot="1" x14ac:dyDescent="0.3">
      <c r="A279" s="289" t="s">
        <v>462</v>
      </c>
      <c r="B279" s="290"/>
      <c r="C279" s="290"/>
      <c r="D279" s="290"/>
      <c r="E279" s="290"/>
      <c r="F279" s="290"/>
      <c r="G279" s="29">
        <f>SUM(G273+G244+G14)</f>
        <v>969405.59999999974</v>
      </c>
      <c r="H279" s="29">
        <f t="shared" ref="H279:Q279" si="41">SUM(H273+H244+H14)</f>
        <v>260296.17400000014</v>
      </c>
      <c r="I279" s="29">
        <f t="shared" si="41"/>
        <v>1517.1000000000001</v>
      </c>
      <c r="J279" s="29">
        <f t="shared" si="41"/>
        <v>1231218.8740000005</v>
      </c>
      <c r="K279" s="29">
        <f t="shared" si="41"/>
        <v>74865.040000000066</v>
      </c>
      <c r="L279" s="29">
        <f t="shared" si="41"/>
        <v>4091.2551095650001</v>
      </c>
      <c r="M279" s="29">
        <f t="shared" si="41"/>
        <v>9871.84</v>
      </c>
      <c r="N279" s="29">
        <f t="shared" si="41"/>
        <v>3125.3300000000013</v>
      </c>
      <c r="O279" s="29">
        <f t="shared" si="41"/>
        <v>10396.527000000002</v>
      </c>
      <c r="P279" s="29">
        <f t="shared" si="41"/>
        <v>102349.99210956492</v>
      </c>
      <c r="Q279" s="29">
        <f t="shared" si="41"/>
        <v>1128868.8818904352</v>
      </c>
      <c r="R279" s="58"/>
    </row>
    <row r="280" spans="1:18" ht="70.7" customHeight="1" x14ac:dyDescent="0.25">
      <c r="A280" s="59"/>
      <c r="B280" s="59"/>
      <c r="C280" s="59"/>
      <c r="D280" s="59"/>
      <c r="E280" s="59"/>
      <c r="F280" s="147"/>
      <c r="G280" s="60"/>
      <c r="H280" s="60"/>
      <c r="I280" s="60"/>
      <c r="J280" s="60"/>
      <c r="K280" s="60"/>
      <c r="L280" s="60"/>
      <c r="M280" s="220"/>
      <c r="N280" s="60"/>
      <c r="O280" s="60"/>
      <c r="P280" s="60"/>
      <c r="Q280" s="220"/>
      <c r="R280" s="58"/>
    </row>
    <row r="281" spans="1:18" ht="70.7" customHeight="1" x14ac:dyDescent="0.25">
      <c r="A281" s="59"/>
      <c r="B281" s="59"/>
      <c r="C281" s="59"/>
      <c r="D281" s="59"/>
      <c r="E281" s="59"/>
      <c r="F281" s="147"/>
      <c r="G281" s="60"/>
      <c r="H281" s="60"/>
      <c r="I281" s="60"/>
      <c r="J281" s="60"/>
      <c r="K281" s="60"/>
      <c r="L281" s="60"/>
      <c r="M281" s="220"/>
      <c r="N281" s="60"/>
      <c r="O281" s="60"/>
      <c r="P281" s="60"/>
      <c r="Q281" s="220"/>
      <c r="R281" s="58"/>
    </row>
    <row r="282" spans="1:18" ht="70.7" customHeight="1" x14ac:dyDescent="0.25">
      <c r="A282" s="59"/>
      <c r="B282" s="59"/>
      <c r="C282" s="59"/>
      <c r="D282" s="59"/>
      <c r="E282" s="59"/>
      <c r="F282" s="147"/>
      <c r="G282" s="60"/>
      <c r="H282" s="60"/>
      <c r="I282" s="60"/>
      <c r="J282" s="60"/>
      <c r="K282" s="60"/>
      <c r="L282" s="60"/>
      <c r="M282" s="220"/>
      <c r="N282" s="60"/>
      <c r="O282" s="60"/>
      <c r="P282" s="60"/>
      <c r="Q282" s="220"/>
      <c r="R282" s="58"/>
    </row>
    <row r="283" spans="1:18" ht="70.7" customHeight="1" x14ac:dyDescent="0.25">
      <c r="A283" s="59"/>
      <c r="B283" s="59"/>
      <c r="C283" s="59"/>
      <c r="D283" s="59"/>
      <c r="E283" s="59"/>
      <c r="F283" s="147"/>
      <c r="G283" s="60"/>
      <c r="H283" s="60"/>
      <c r="I283" s="60"/>
      <c r="J283" s="60"/>
      <c r="K283" s="60"/>
      <c r="L283" s="60"/>
      <c r="M283" s="220"/>
      <c r="N283" s="60"/>
      <c r="O283" s="60"/>
      <c r="P283" s="60"/>
      <c r="Q283" s="220"/>
      <c r="R283" s="58"/>
    </row>
    <row r="284" spans="1:18" ht="70.7" customHeight="1" x14ac:dyDescent="0.25">
      <c r="A284" s="59"/>
      <c r="B284" s="59"/>
      <c r="C284" s="59"/>
      <c r="D284" s="59"/>
      <c r="E284" s="59"/>
      <c r="F284" s="147"/>
      <c r="G284" s="60"/>
      <c r="H284" s="60"/>
      <c r="I284" s="60"/>
      <c r="J284" s="60"/>
      <c r="K284" s="60"/>
      <c r="L284" s="60"/>
      <c r="M284" s="220"/>
      <c r="N284" s="60"/>
      <c r="O284" s="60"/>
      <c r="P284" s="60"/>
      <c r="Q284" s="220"/>
      <c r="R284" s="58"/>
    </row>
    <row r="285" spans="1:18" ht="70.7" customHeight="1" x14ac:dyDescent="0.25">
      <c r="A285" s="59"/>
      <c r="B285" s="59"/>
      <c r="C285" s="59"/>
      <c r="D285" s="59"/>
      <c r="E285" s="59"/>
      <c r="F285" s="147"/>
      <c r="G285" s="60"/>
      <c r="H285" s="60"/>
      <c r="I285" s="60"/>
      <c r="J285" s="60"/>
      <c r="K285" s="60"/>
      <c r="L285" s="60"/>
      <c r="M285" s="220"/>
      <c r="N285" s="60"/>
      <c r="O285" s="60"/>
      <c r="P285" s="60"/>
      <c r="Q285" s="220"/>
      <c r="R285" s="58"/>
    </row>
    <row r="286" spans="1:18" ht="70.7" customHeight="1" x14ac:dyDescent="0.25">
      <c r="A286" s="59"/>
      <c r="B286" s="59"/>
      <c r="C286" s="59"/>
      <c r="D286" s="59"/>
      <c r="E286" s="59"/>
      <c r="F286" s="147"/>
      <c r="G286" s="60"/>
      <c r="H286" s="60"/>
      <c r="I286" s="60"/>
      <c r="J286" s="60"/>
      <c r="K286" s="60"/>
      <c r="L286" s="60"/>
      <c r="M286" s="220"/>
      <c r="N286" s="60"/>
      <c r="O286" s="60"/>
      <c r="P286" s="60"/>
      <c r="Q286" s="220"/>
      <c r="R286" s="58"/>
    </row>
    <row r="287" spans="1:18" ht="70.7" customHeight="1" x14ac:dyDescent="0.3">
      <c r="A287" s="49"/>
      <c r="B287" s="49"/>
      <c r="C287" s="48"/>
      <c r="D287" s="48"/>
      <c r="E287" s="48"/>
      <c r="F287" s="145"/>
      <c r="G287" s="206"/>
      <c r="H287" s="206"/>
      <c r="I287" s="50"/>
      <c r="J287" s="50"/>
      <c r="K287" s="50"/>
      <c r="L287" s="50"/>
      <c r="M287" s="207"/>
      <c r="N287" s="50"/>
      <c r="O287" s="50"/>
      <c r="P287" s="50"/>
      <c r="Q287" s="207"/>
      <c r="R287" s="49"/>
    </row>
    <row r="288" spans="1:18" ht="70.7" customHeight="1" x14ac:dyDescent="0.3">
      <c r="A288" s="49"/>
      <c r="B288" s="49"/>
      <c r="C288" s="48"/>
      <c r="D288" s="48"/>
      <c r="E288" s="48"/>
      <c r="F288" s="145"/>
      <c r="G288" s="206"/>
      <c r="H288" s="206"/>
      <c r="I288" s="50"/>
      <c r="J288" s="50"/>
      <c r="K288" s="50"/>
      <c r="L288" s="50"/>
      <c r="M288" s="207"/>
      <c r="N288" s="50"/>
      <c r="O288" s="50"/>
      <c r="P288" s="50"/>
      <c r="Q288" s="207"/>
      <c r="R288" s="49"/>
    </row>
    <row r="289" spans="1:18" ht="70.7" customHeight="1" thickBot="1" x14ac:dyDescent="0.35">
      <c r="A289" s="49"/>
      <c r="B289" s="49"/>
      <c r="C289" s="48"/>
      <c r="D289" s="48"/>
      <c r="E289" s="48"/>
      <c r="F289" s="145"/>
      <c r="G289" s="206"/>
      <c r="H289" s="206"/>
      <c r="I289" s="50"/>
      <c r="J289" s="50"/>
      <c r="K289" s="50"/>
      <c r="L289" s="50"/>
      <c r="M289" s="207"/>
      <c r="N289" s="50"/>
      <c r="O289" s="50"/>
      <c r="P289" s="50"/>
      <c r="Q289" s="207"/>
      <c r="R289" s="49"/>
    </row>
    <row r="290" spans="1:18" ht="70.7" customHeight="1" thickBot="1" x14ac:dyDescent="0.3">
      <c r="A290" s="286" t="s">
        <v>458</v>
      </c>
      <c r="B290" s="287"/>
      <c r="C290" s="287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8"/>
    </row>
    <row r="291" spans="1:18" ht="70.7" customHeight="1" x14ac:dyDescent="0.3">
      <c r="A291" s="299"/>
      <c r="B291" s="300"/>
      <c r="C291" s="300"/>
      <c r="D291" s="301"/>
      <c r="E291" s="302" t="s">
        <v>414</v>
      </c>
      <c r="F291" s="303"/>
      <c r="G291" s="303"/>
      <c r="H291" s="303"/>
      <c r="I291" s="303"/>
      <c r="J291" s="304"/>
      <c r="K291" s="305" t="s">
        <v>419</v>
      </c>
      <c r="L291" s="306"/>
      <c r="M291" s="306"/>
      <c r="N291" s="306"/>
      <c r="O291" s="306"/>
      <c r="P291" s="307"/>
      <c r="Q291" s="308"/>
      <c r="R291" s="309"/>
    </row>
    <row r="292" spans="1:18" ht="70.7" customHeight="1" thickBot="1" x14ac:dyDescent="0.3">
      <c r="A292" s="30" t="s">
        <v>1</v>
      </c>
      <c r="B292" s="64" t="s">
        <v>0</v>
      </c>
      <c r="C292" s="31" t="s">
        <v>2</v>
      </c>
      <c r="D292" s="32" t="s">
        <v>3</v>
      </c>
      <c r="E292" s="125" t="s">
        <v>4</v>
      </c>
      <c r="F292" s="140" t="s">
        <v>425</v>
      </c>
      <c r="G292" s="188" t="s">
        <v>417</v>
      </c>
      <c r="H292" s="173" t="s">
        <v>619</v>
      </c>
      <c r="I292" s="188" t="s">
        <v>418</v>
      </c>
      <c r="J292" s="189" t="s">
        <v>421</v>
      </c>
      <c r="K292" s="190" t="s">
        <v>415</v>
      </c>
      <c r="L292" s="188" t="s">
        <v>416</v>
      </c>
      <c r="M292" s="176" t="s">
        <v>509</v>
      </c>
      <c r="N292" s="188" t="s">
        <v>432</v>
      </c>
      <c r="O292" s="188" t="s">
        <v>420</v>
      </c>
      <c r="P292" s="189" t="s">
        <v>422</v>
      </c>
      <c r="Q292" s="191" t="s">
        <v>423</v>
      </c>
      <c r="R292" s="33" t="s">
        <v>424</v>
      </c>
    </row>
    <row r="293" spans="1:18" ht="70.7" customHeight="1" x14ac:dyDescent="0.25">
      <c r="A293" s="256" t="s">
        <v>267</v>
      </c>
      <c r="B293" s="244" t="s">
        <v>268</v>
      </c>
      <c r="C293" s="17" t="s">
        <v>37</v>
      </c>
      <c r="D293" s="17"/>
      <c r="E293" s="17">
        <v>546.12</v>
      </c>
      <c r="F293" s="142">
        <v>15</v>
      </c>
      <c r="G293" s="197">
        <f>E293*F293</f>
        <v>8191.8</v>
      </c>
      <c r="H293" s="197">
        <f>+E293*5</f>
        <v>2730.6</v>
      </c>
      <c r="I293" s="62"/>
      <c r="J293" s="62">
        <f>G293+I293+H293</f>
        <v>10922.4</v>
      </c>
      <c r="K293" s="62">
        <v>1111.5899999999999</v>
      </c>
      <c r="L293" s="62">
        <f t="shared" ref="L293:L306" si="42">G293*1.1875%</f>
        <v>97.277625</v>
      </c>
      <c r="M293" s="181"/>
      <c r="N293" s="62"/>
      <c r="O293" s="62"/>
      <c r="P293" s="62">
        <f>K293+L293+N293+O293+M293</f>
        <v>1208.8676249999999</v>
      </c>
      <c r="Q293" s="181">
        <f t="shared" ref="Q293:Q339" si="43">J293-P293</f>
        <v>9713.5323749999989</v>
      </c>
      <c r="R293" s="23"/>
    </row>
    <row r="294" spans="1:18" ht="70.7" customHeight="1" x14ac:dyDescent="0.25">
      <c r="A294" s="257"/>
      <c r="B294" s="268"/>
      <c r="C294" s="17" t="s">
        <v>410</v>
      </c>
      <c r="D294" s="17"/>
      <c r="E294" s="17">
        <v>505</v>
      </c>
      <c r="F294" s="142">
        <v>15</v>
      </c>
      <c r="G294" s="197">
        <f t="shared" ref="G294:G327" si="44">E294*F294</f>
        <v>7575</v>
      </c>
      <c r="H294" s="197">
        <f t="shared" ref="H294:H337" si="45">+E294*5</f>
        <v>2525</v>
      </c>
      <c r="I294" s="62"/>
      <c r="J294" s="62">
        <f t="shared" ref="J294:J339" si="46">G294+I294+H294</f>
        <v>10100</v>
      </c>
      <c r="K294" s="62">
        <v>979.85</v>
      </c>
      <c r="L294" s="62">
        <f t="shared" si="42"/>
        <v>89.953125</v>
      </c>
      <c r="M294" s="181"/>
      <c r="N294" s="62"/>
      <c r="O294" s="62"/>
      <c r="P294" s="62">
        <f t="shared" ref="P294:P339" si="47">K294+L294+N294+O294+M294</f>
        <v>1069.8031249999999</v>
      </c>
      <c r="Q294" s="181">
        <f t="shared" si="43"/>
        <v>9030.1968749999996</v>
      </c>
      <c r="R294" s="23"/>
    </row>
    <row r="295" spans="1:18" ht="70.7" customHeight="1" x14ac:dyDescent="0.25">
      <c r="A295" s="257"/>
      <c r="B295" s="268"/>
      <c r="C295" s="17" t="s">
        <v>270</v>
      </c>
      <c r="D295" s="17"/>
      <c r="E295" s="17">
        <v>463.7</v>
      </c>
      <c r="F295" s="142">
        <v>15</v>
      </c>
      <c r="G295" s="197">
        <f t="shared" si="44"/>
        <v>6955.5</v>
      </c>
      <c r="H295" s="197">
        <f t="shared" si="45"/>
        <v>2318.5</v>
      </c>
      <c r="I295" s="62"/>
      <c r="J295" s="62">
        <f t="shared" si="46"/>
        <v>9274</v>
      </c>
      <c r="K295" s="62">
        <v>847.52</v>
      </c>
      <c r="L295" s="62">
        <f t="shared" si="42"/>
        <v>82.596562500000005</v>
      </c>
      <c r="M295" s="181">
        <v>562.5</v>
      </c>
      <c r="N295" s="62"/>
      <c r="O295" s="62"/>
      <c r="P295" s="62">
        <f t="shared" si="47"/>
        <v>1492.6165624999999</v>
      </c>
      <c r="Q295" s="181">
        <f t="shared" si="43"/>
        <v>7781.3834375000006</v>
      </c>
      <c r="R295" s="23"/>
    </row>
    <row r="296" spans="1:18" ht="70.7" customHeight="1" x14ac:dyDescent="0.25">
      <c r="A296" s="257"/>
      <c r="B296" s="268"/>
      <c r="C296" s="17" t="s">
        <v>270</v>
      </c>
      <c r="D296" s="17"/>
      <c r="E296" s="17">
        <v>463.7</v>
      </c>
      <c r="F296" s="142">
        <v>15</v>
      </c>
      <c r="G296" s="197">
        <f t="shared" si="44"/>
        <v>6955.5</v>
      </c>
      <c r="H296" s="197">
        <f t="shared" si="45"/>
        <v>2318.5</v>
      </c>
      <c r="I296" s="62"/>
      <c r="J296" s="62">
        <f t="shared" si="46"/>
        <v>9274</v>
      </c>
      <c r="K296" s="62">
        <v>847.52</v>
      </c>
      <c r="L296" s="62">
        <f t="shared" si="42"/>
        <v>82.596562500000005</v>
      </c>
      <c r="M296" s="181"/>
      <c r="N296" s="62"/>
      <c r="O296" s="62"/>
      <c r="P296" s="62">
        <f t="shared" si="47"/>
        <v>930.11656249999999</v>
      </c>
      <c r="Q296" s="181">
        <f t="shared" si="43"/>
        <v>8343.8834375000006</v>
      </c>
      <c r="R296" s="23"/>
    </row>
    <row r="297" spans="1:18" ht="70.7" customHeight="1" x14ac:dyDescent="0.25">
      <c r="A297" s="257"/>
      <c r="B297" s="268"/>
      <c r="C297" s="17" t="s">
        <v>270</v>
      </c>
      <c r="D297" s="17"/>
      <c r="E297" s="17">
        <v>463.7</v>
      </c>
      <c r="F297" s="142">
        <v>15</v>
      </c>
      <c r="G297" s="197">
        <f t="shared" si="44"/>
        <v>6955.5</v>
      </c>
      <c r="H297" s="197">
        <f t="shared" si="45"/>
        <v>2318.5</v>
      </c>
      <c r="I297" s="62"/>
      <c r="J297" s="62">
        <f t="shared" si="46"/>
        <v>9274</v>
      </c>
      <c r="K297" s="62">
        <v>847.52</v>
      </c>
      <c r="L297" s="62">
        <f t="shared" si="42"/>
        <v>82.596562500000005</v>
      </c>
      <c r="M297" s="181"/>
      <c r="N297" s="62"/>
      <c r="O297" s="62"/>
      <c r="P297" s="62">
        <f t="shared" si="47"/>
        <v>930.11656249999999</v>
      </c>
      <c r="Q297" s="181">
        <f t="shared" si="43"/>
        <v>8343.8834375000006</v>
      </c>
      <c r="R297" s="23"/>
    </row>
    <row r="298" spans="1:18" ht="70.7" customHeight="1" x14ac:dyDescent="0.25">
      <c r="A298" s="257"/>
      <c r="B298" s="268"/>
      <c r="C298" s="324" t="s">
        <v>271</v>
      </c>
      <c r="D298" s="17"/>
      <c r="E298" s="17">
        <v>273.95</v>
      </c>
      <c r="F298" s="142">
        <v>15</v>
      </c>
      <c r="G298" s="197">
        <f t="shared" si="44"/>
        <v>4109.25</v>
      </c>
      <c r="H298" s="197">
        <f t="shared" si="45"/>
        <v>1369.75</v>
      </c>
      <c r="I298" s="62"/>
      <c r="J298" s="62">
        <f t="shared" si="46"/>
        <v>5479</v>
      </c>
      <c r="K298" s="62">
        <v>325.68</v>
      </c>
      <c r="L298" s="62">
        <f t="shared" si="42"/>
        <v>48.797343750000003</v>
      </c>
      <c r="M298" s="181"/>
      <c r="N298" s="62"/>
      <c r="O298" s="62"/>
      <c r="P298" s="62">
        <f t="shared" si="47"/>
        <v>374.47734374999999</v>
      </c>
      <c r="Q298" s="181">
        <f t="shared" si="43"/>
        <v>5104.5226562500002</v>
      </c>
      <c r="R298" s="23"/>
    </row>
    <row r="299" spans="1:18" ht="70.7" customHeight="1" x14ac:dyDescent="0.25">
      <c r="A299" s="257"/>
      <c r="B299" s="268"/>
      <c r="C299" s="325"/>
      <c r="D299" s="17"/>
      <c r="E299" s="17">
        <v>273.95</v>
      </c>
      <c r="F299" s="142">
        <v>15</v>
      </c>
      <c r="G299" s="197">
        <f t="shared" ref="G299:G314" si="48">E299*F299</f>
        <v>4109.25</v>
      </c>
      <c r="H299" s="197">
        <f t="shared" si="45"/>
        <v>1369.75</v>
      </c>
      <c r="I299" s="62"/>
      <c r="J299" s="62">
        <f t="shared" si="46"/>
        <v>5479</v>
      </c>
      <c r="K299" s="62">
        <v>325.68</v>
      </c>
      <c r="L299" s="62">
        <f t="shared" si="42"/>
        <v>48.797343750000003</v>
      </c>
      <c r="M299" s="181"/>
      <c r="N299" s="62"/>
      <c r="O299" s="62"/>
      <c r="P299" s="62">
        <f t="shared" si="47"/>
        <v>374.47734374999999</v>
      </c>
      <c r="Q299" s="181">
        <f t="shared" si="43"/>
        <v>5104.5226562500002</v>
      </c>
      <c r="R299" s="23"/>
    </row>
    <row r="300" spans="1:18" ht="70.7" customHeight="1" x14ac:dyDescent="0.25">
      <c r="A300" s="257"/>
      <c r="B300" s="268"/>
      <c r="C300" s="325"/>
      <c r="D300" s="17"/>
      <c r="E300" s="17">
        <v>273.95</v>
      </c>
      <c r="F300" s="142">
        <v>15</v>
      </c>
      <c r="G300" s="197">
        <f t="shared" si="48"/>
        <v>4109.25</v>
      </c>
      <c r="H300" s="197">
        <f t="shared" si="45"/>
        <v>1369.75</v>
      </c>
      <c r="I300" s="62"/>
      <c r="J300" s="62">
        <f t="shared" si="46"/>
        <v>5479</v>
      </c>
      <c r="K300" s="62">
        <v>325.68</v>
      </c>
      <c r="L300" s="62">
        <f t="shared" si="42"/>
        <v>48.797343750000003</v>
      </c>
      <c r="M300" s="181"/>
      <c r="N300" s="62"/>
      <c r="O300" s="62"/>
      <c r="P300" s="62">
        <f t="shared" si="47"/>
        <v>374.47734374999999</v>
      </c>
      <c r="Q300" s="181">
        <f t="shared" si="43"/>
        <v>5104.5226562500002</v>
      </c>
      <c r="R300" s="23"/>
    </row>
    <row r="301" spans="1:18" ht="70.7" customHeight="1" x14ac:dyDescent="0.25">
      <c r="A301" s="257"/>
      <c r="B301" s="268"/>
      <c r="C301" s="325"/>
      <c r="D301" s="17"/>
      <c r="E301" s="17">
        <v>273.95</v>
      </c>
      <c r="F301" s="142">
        <v>15</v>
      </c>
      <c r="G301" s="197">
        <f t="shared" si="48"/>
        <v>4109.25</v>
      </c>
      <c r="H301" s="197">
        <f t="shared" si="45"/>
        <v>1369.75</v>
      </c>
      <c r="I301" s="62"/>
      <c r="J301" s="62">
        <f t="shared" si="46"/>
        <v>5479</v>
      </c>
      <c r="K301" s="62">
        <v>325.68</v>
      </c>
      <c r="L301" s="62">
        <f t="shared" si="42"/>
        <v>48.797343750000003</v>
      </c>
      <c r="M301" s="181">
        <v>400</v>
      </c>
      <c r="N301" s="62"/>
      <c r="O301" s="62"/>
      <c r="P301" s="62">
        <f t="shared" si="47"/>
        <v>774.47734375000005</v>
      </c>
      <c r="Q301" s="181">
        <f t="shared" si="43"/>
        <v>4704.5226562500002</v>
      </c>
      <c r="R301" s="23"/>
    </row>
    <row r="302" spans="1:18" ht="70.7" customHeight="1" x14ac:dyDescent="0.25">
      <c r="A302" s="257"/>
      <c r="B302" s="268"/>
      <c r="C302" s="325"/>
      <c r="D302" s="17"/>
      <c r="E302" s="17">
        <v>273.95</v>
      </c>
      <c r="F302" s="142">
        <v>15</v>
      </c>
      <c r="G302" s="197">
        <f t="shared" si="48"/>
        <v>4109.25</v>
      </c>
      <c r="H302" s="197">
        <f t="shared" si="45"/>
        <v>1369.75</v>
      </c>
      <c r="I302" s="62"/>
      <c r="J302" s="62">
        <f t="shared" si="46"/>
        <v>5479</v>
      </c>
      <c r="K302" s="62">
        <v>325.68</v>
      </c>
      <c r="L302" s="62">
        <f t="shared" si="42"/>
        <v>48.797343750000003</v>
      </c>
      <c r="M302" s="181"/>
      <c r="N302" s="62"/>
      <c r="O302" s="62"/>
      <c r="P302" s="62">
        <f t="shared" si="47"/>
        <v>374.47734374999999</v>
      </c>
      <c r="Q302" s="181">
        <f t="shared" si="43"/>
        <v>5104.5226562500002</v>
      </c>
      <c r="R302" s="23"/>
    </row>
    <row r="303" spans="1:18" ht="70.7" customHeight="1" x14ac:dyDescent="0.25">
      <c r="A303" s="257"/>
      <c r="B303" s="268"/>
      <c r="C303" s="325"/>
      <c r="D303" s="17"/>
      <c r="E303" s="17">
        <v>273.95</v>
      </c>
      <c r="F303" s="142">
        <v>15</v>
      </c>
      <c r="G303" s="197">
        <f t="shared" si="48"/>
        <v>4109.25</v>
      </c>
      <c r="H303" s="197">
        <f t="shared" si="45"/>
        <v>1369.75</v>
      </c>
      <c r="I303" s="62"/>
      <c r="J303" s="62">
        <f t="shared" si="46"/>
        <v>5479</v>
      </c>
      <c r="K303" s="62">
        <v>325.68</v>
      </c>
      <c r="L303" s="62">
        <f t="shared" si="42"/>
        <v>48.797343750000003</v>
      </c>
      <c r="M303" s="181"/>
      <c r="N303" s="62"/>
      <c r="O303" s="62"/>
      <c r="P303" s="62">
        <f t="shared" si="47"/>
        <v>374.47734374999999</v>
      </c>
      <c r="Q303" s="181">
        <f t="shared" si="43"/>
        <v>5104.5226562500002</v>
      </c>
      <c r="R303" s="23"/>
    </row>
    <row r="304" spans="1:18" ht="70.7" customHeight="1" x14ac:dyDescent="0.25">
      <c r="A304" s="257"/>
      <c r="B304" s="268"/>
      <c r="C304" s="325"/>
      <c r="D304" s="17"/>
      <c r="E304" s="17">
        <v>273.95</v>
      </c>
      <c r="F304" s="142">
        <v>15</v>
      </c>
      <c r="G304" s="197">
        <f t="shared" si="48"/>
        <v>4109.25</v>
      </c>
      <c r="H304" s="197">
        <f t="shared" si="45"/>
        <v>1369.75</v>
      </c>
      <c r="I304" s="62"/>
      <c r="J304" s="62">
        <f t="shared" si="46"/>
        <v>5479</v>
      </c>
      <c r="K304" s="62">
        <v>325.68</v>
      </c>
      <c r="L304" s="62">
        <f t="shared" si="42"/>
        <v>48.797343750000003</v>
      </c>
      <c r="M304" s="181"/>
      <c r="N304" s="62"/>
      <c r="O304" s="62"/>
      <c r="P304" s="62">
        <f t="shared" si="47"/>
        <v>374.47734374999999</v>
      </c>
      <c r="Q304" s="181">
        <f t="shared" si="43"/>
        <v>5104.5226562500002</v>
      </c>
      <c r="R304" s="23"/>
    </row>
    <row r="305" spans="1:18" ht="70.7" customHeight="1" x14ac:dyDescent="0.25">
      <c r="A305" s="257"/>
      <c r="B305" s="268"/>
      <c r="C305" s="325"/>
      <c r="D305" s="17"/>
      <c r="E305" s="17">
        <v>273.95</v>
      </c>
      <c r="F305" s="142">
        <v>15</v>
      </c>
      <c r="G305" s="197">
        <f t="shared" si="48"/>
        <v>4109.25</v>
      </c>
      <c r="H305" s="197">
        <f t="shared" si="45"/>
        <v>1369.75</v>
      </c>
      <c r="I305" s="62"/>
      <c r="J305" s="62">
        <f t="shared" si="46"/>
        <v>5479</v>
      </c>
      <c r="K305" s="62">
        <v>325.68</v>
      </c>
      <c r="L305" s="62">
        <f t="shared" si="42"/>
        <v>48.797343750000003</v>
      </c>
      <c r="M305" s="181"/>
      <c r="N305" s="62"/>
      <c r="O305" s="62"/>
      <c r="P305" s="62">
        <f t="shared" si="47"/>
        <v>374.47734374999999</v>
      </c>
      <c r="Q305" s="181">
        <f t="shared" si="43"/>
        <v>5104.5226562500002</v>
      </c>
      <c r="R305" s="23"/>
    </row>
    <row r="306" spans="1:18" ht="70.7" customHeight="1" x14ac:dyDescent="0.25">
      <c r="A306" s="257"/>
      <c r="B306" s="268"/>
      <c r="C306" s="325"/>
      <c r="D306" s="17"/>
      <c r="E306" s="17">
        <v>273.95</v>
      </c>
      <c r="F306" s="142">
        <v>15</v>
      </c>
      <c r="G306" s="197">
        <f t="shared" si="48"/>
        <v>4109.25</v>
      </c>
      <c r="H306" s="197">
        <f t="shared" si="45"/>
        <v>1369.75</v>
      </c>
      <c r="I306" s="62"/>
      <c r="J306" s="62">
        <f t="shared" si="46"/>
        <v>5479</v>
      </c>
      <c r="K306" s="62">
        <v>325.68</v>
      </c>
      <c r="L306" s="62">
        <f t="shared" si="42"/>
        <v>48.797343750000003</v>
      </c>
      <c r="M306" s="181"/>
      <c r="N306" s="62"/>
      <c r="O306" s="62"/>
      <c r="P306" s="62">
        <f t="shared" si="47"/>
        <v>374.47734374999999</v>
      </c>
      <c r="Q306" s="181">
        <f t="shared" si="43"/>
        <v>5104.5226562500002</v>
      </c>
      <c r="R306" s="23"/>
    </row>
    <row r="307" spans="1:18" ht="70.7" customHeight="1" x14ac:dyDescent="0.25">
      <c r="A307" s="257"/>
      <c r="B307" s="245"/>
      <c r="C307" s="335"/>
      <c r="D307" s="17"/>
      <c r="E307" s="17">
        <v>273.95</v>
      </c>
      <c r="F307" s="142">
        <v>15</v>
      </c>
      <c r="G307" s="197">
        <f t="shared" si="48"/>
        <v>4109.25</v>
      </c>
      <c r="H307" s="197">
        <f t="shared" si="45"/>
        <v>1369.75</v>
      </c>
      <c r="I307" s="62"/>
      <c r="J307" s="62">
        <f t="shared" si="46"/>
        <v>5479</v>
      </c>
      <c r="K307" s="62">
        <v>325.68</v>
      </c>
      <c r="L307" s="62"/>
      <c r="M307" s="181"/>
      <c r="N307" s="62"/>
      <c r="O307" s="62"/>
      <c r="P307" s="62">
        <f t="shared" si="47"/>
        <v>325.68</v>
      </c>
      <c r="Q307" s="181">
        <f t="shared" si="43"/>
        <v>5153.32</v>
      </c>
      <c r="R307" s="23"/>
    </row>
    <row r="308" spans="1:18" ht="70.7" customHeight="1" x14ac:dyDescent="0.25">
      <c r="A308" s="257" t="s">
        <v>267</v>
      </c>
      <c r="B308" s="244" t="s">
        <v>268</v>
      </c>
      <c r="C308" s="324" t="s">
        <v>271</v>
      </c>
      <c r="D308" s="17"/>
      <c r="E308" s="17">
        <v>273.95</v>
      </c>
      <c r="F308" s="142">
        <v>15</v>
      </c>
      <c r="G308" s="197">
        <f t="shared" si="48"/>
        <v>4109.25</v>
      </c>
      <c r="H308" s="197">
        <f t="shared" si="45"/>
        <v>1369.75</v>
      </c>
      <c r="I308" s="62"/>
      <c r="J308" s="62">
        <f t="shared" si="46"/>
        <v>5479</v>
      </c>
      <c r="K308" s="62">
        <v>325.68</v>
      </c>
      <c r="L308" s="62">
        <f t="shared" ref="L308:L316" si="49">G308*1.1875%</f>
        <v>48.797343750000003</v>
      </c>
      <c r="M308" s="181"/>
      <c r="N308" s="62"/>
      <c r="O308" s="62"/>
      <c r="P308" s="62">
        <f t="shared" si="47"/>
        <v>374.47734374999999</v>
      </c>
      <c r="Q308" s="181">
        <f t="shared" si="43"/>
        <v>5104.5226562500002</v>
      </c>
      <c r="R308" s="23"/>
    </row>
    <row r="309" spans="1:18" ht="70.7" customHeight="1" x14ac:dyDescent="0.25">
      <c r="A309" s="257"/>
      <c r="B309" s="268"/>
      <c r="C309" s="325"/>
      <c r="D309" s="17"/>
      <c r="E309" s="17">
        <v>273.95</v>
      </c>
      <c r="F309" s="142">
        <v>15</v>
      </c>
      <c r="G309" s="197">
        <f t="shared" si="48"/>
        <v>4109.25</v>
      </c>
      <c r="H309" s="197">
        <f t="shared" si="45"/>
        <v>1369.75</v>
      </c>
      <c r="I309" s="62"/>
      <c r="J309" s="62">
        <f t="shared" si="46"/>
        <v>5479</v>
      </c>
      <c r="K309" s="62">
        <v>325.68</v>
      </c>
      <c r="L309" s="62">
        <f t="shared" si="49"/>
        <v>48.797343750000003</v>
      </c>
      <c r="M309" s="181"/>
      <c r="N309" s="62"/>
      <c r="O309" s="62"/>
      <c r="P309" s="62">
        <f t="shared" si="47"/>
        <v>374.47734374999999</v>
      </c>
      <c r="Q309" s="181">
        <f t="shared" si="43"/>
        <v>5104.5226562500002</v>
      </c>
      <c r="R309" s="23"/>
    </row>
    <row r="310" spans="1:18" ht="70.7" customHeight="1" x14ac:dyDescent="0.25">
      <c r="A310" s="257"/>
      <c r="B310" s="268"/>
      <c r="C310" s="325"/>
      <c r="D310" s="17"/>
      <c r="E310" s="17">
        <v>273.95</v>
      </c>
      <c r="F310" s="142">
        <v>15</v>
      </c>
      <c r="G310" s="197">
        <f t="shared" si="48"/>
        <v>4109.25</v>
      </c>
      <c r="H310" s="197">
        <f t="shared" si="45"/>
        <v>1369.75</v>
      </c>
      <c r="I310" s="62"/>
      <c r="J310" s="62">
        <f t="shared" si="46"/>
        <v>5479</v>
      </c>
      <c r="K310" s="62">
        <v>325.68</v>
      </c>
      <c r="L310" s="62">
        <f t="shared" si="49"/>
        <v>48.797343750000003</v>
      </c>
      <c r="M310" s="181"/>
      <c r="N310" s="62"/>
      <c r="O310" s="62"/>
      <c r="P310" s="62">
        <f t="shared" si="47"/>
        <v>374.47734374999999</v>
      </c>
      <c r="Q310" s="181">
        <f t="shared" si="43"/>
        <v>5104.5226562500002</v>
      </c>
      <c r="R310" s="23"/>
    </row>
    <row r="311" spans="1:18" ht="70.7" customHeight="1" x14ac:dyDescent="0.25">
      <c r="A311" s="257"/>
      <c r="B311" s="268"/>
      <c r="C311" s="325"/>
      <c r="D311" s="17"/>
      <c r="E311" s="17">
        <v>273.95</v>
      </c>
      <c r="F311" s="142">
        <v>15</v>
      </c>
      <c r="G311" s="197">
        <f t="shared" si="48"/>
        <v>4109.25</v>
      </c>
      <c r="H311" s="197">
        <f t="shared" si="45"/>
        <v>1369.75</v>
      </c>
      <c r="I311" s="62"/>
      <c r="J311" s="62">
        <f t="shared" si="46"/>
        <v>5479</v>
      </c>
      <c r="K311" s="62">
        <v>325.68</v>
      </c>
      <c r="L311" s="62">
        <f t="shared" si="49"/>
        <v>48.797343750000003</v>
      </c>
      <c r="M311" s="181">
        <v>625</v>
      </c>
      <c r="N311" s="62"/>
      <c r="O311" s="62"/>
      <c r="P311" s="62">
        <f t="shared" si="47"/>
        <v>999.47734375000005</v>
      </c>
      <c r="Q311" s="181">
        <f t="shared" si="43"/>
        <v>4479.5226562500002</v>
      </c>
      <c r="R311" s="23"/>
    </row>
    <row r="312" spans="1:18" ht="70.7" customHeight="1" x14ac:dyDescent="0.25">
      <c r="A312" s="257"/>
      <c r="B312" s="268"/>
      <c r="C312" s="325"/>
      <c r="D312" s="17"/>
      <c r="E312" s="17">
        <v>273.95</v>
      </c>
      <c r="F312" s="142">
        <v>15</v>
      </c>
      <c r="G312" s="197">
        <f t="shared" si="48"/>
        <v>4109.25</v>
      </c>
      <c r="H312" s="197">
        <f t="shared" si="45"/>
        <v>1369.75</v>
      </c>
      <c r="I312" s="62"/>
      <c r="J312" s="62">
        <f t="shared" si="46"/>
        <v>5479</v>
      </c>
      <c r="K312" s="62">
        <v>325.68</v>
      </c>
      <c r="L312" s="62">
        <f t="shared" si="49"/>
        <v>48.797343750000003</v>
      </c>
      <c r="M312" s="181"/>
      <c r="N312" s="62"/>
      <c r="O312" s="62"/>
      <c r="P312" s="62">
        <f t="shared" si="47"/>
        <v>374.47734374999999</v>
      </c>
      <c r="Q312" s="181">
        <f t="shared" si="43"/>
        <v>5104.5226562500002</v>
      </c>
      <c r="R312" s="23"/>
    </row>
    <row r="313" spans="1:18" ht="70.7" customHeight="1" x14ac:dyDescent="0.25">
      <c r="A313" s="257"/>
      <c r="B313" s="268"/>
      <c r="C313" s="325"/>
      <c r="D313" s="77"/>
      <c r="E313" s="77">
        <v>273.95</v>
      </c>
      <c r="F313" s="142">
        <v>15</v>
      </c>
      <c r="G313" s="197">
        <f t="shared" si="48"/>
        <v>4109.25</v>
      </c>
      <c r="H313" s="197">
        <f t="shared" si="45"/>
        <v>1369.75</v>
      </c>
      <c r="I313" s="62"/>
      <c r="J313" s="62">
        <f t="shared" si="46"/>
        <v>5479</v>
      </c>
      <c r="K313" s="62">
        <v>325.68</v>
      </c>
      <c r="L313" s="62">
        <f t="shared" si="49"/>
        <v>48.797343750000003</v>
      </c>
      <c r="M313" s="181"/>
      <c r="N313" s="62"/>
      <c r="O313" s="62"/>
      <c r="P313" s="62">
        <f t="shared" si="47"/>
        <v>374.47734374999999</v>
      </c>
      <c r="Q313" s="181">
        <f t="shared" si="43"/>
        <v>5104.5226562500002</v>
      </c>
      <c r="R313" s="23"/>
    </row>
    <row r="314" spans="1:18" ht="70.7" customHeight="1" x14ac:dyDescent="0.25">
      <c r="A314" s="257"/>
      <c r="B314" s="268"/>
      <c r="C314" s="325"/>
      <c r="D314" s="77"/>
      <c r="E314" s="77">
        <v>273.95</v>
      </c>
      <c r="F314" s="142"/>
      <c r="G314" s="197">
        <f t="shared" si="48"/>
        <v>0</v>
      </c>
      <c r="H314" s="197"/>
      <c r="I314" s="62"/>
      <c r="J314" s="62">
        <f t="shared" si="46"/>
        <v>0</v>
      </c>
      <c r="K314" s="62"/>
      <c r="L314" s="62"/>
      <c r="M314" s="181"/>
      <c r="N314" s="62"/>
      <c r="O314" s="62"/>
      <c r="P314" s="62">
        <f t="shared" si="47"/>
        <v>0</v>
      </c>
      <c r="Q314" s="181">
        <f t="shared" si="43"/>
        <v>0</v>
      </c>
      <c r="R314" s="23"/>
    </row>
    <row r="315" spans="1:18" ht="70.7" customHeight="1" x14ac:dyDescent="0.25">
      <c r="A315" s="257"/>
      <c r="B315" s="245"/>
      <c r="C315" s="335"/>
      <c r="D315" s="17"/>
      <c r="E315" s="17">
        <v>273.95</v>
      </c>
      <c r="F315" s="142">
        <v>15</v>
      </c>
      <c r="G315" s="197">
        <f>E315*F315</f>
        <v>4109.25</v>
      </c>
      <c r="H315" s="197">
        <f>+E315*1.88</f>
        <v>515.02599999999995</v>
      </c>
      <c r="I315" s="62"/>
      <c r="J315" s="62">
        <f>G315+I315+H315</f>
        <v>4624.2759999999998</v>
      </c>
      <c r="K315" s="62">
        <v>325.68</v>
      </c>
      <c r="L315" s="62">
        <f t="shared" si="49"/>
        <v>48.797343750000003</v>
      </c>
      <c r="M315" s="181"/>
      <c r="N315" s="62"/>
      <c r="O315" s="62"/>
      <c r="P315" s="62">
        <f>K315+L315+N315+O315+M315</f>
        <v>374.47734374999999</v>
      </c>
      <c r="Q315" s="181">
        <f>J315-P315</f>
        <v>4249.79865625</v>
      </c>
      <c r="R315" s="23"/>
    </row>
    <row r="316" spans="1:18" ht="70.7" customHeight="1" x14ac:dyDescent="0.25">
      <c r="A316" s="257"/>
      <c r="B316" s="244" t="s">
        <v>272</v>
      </c>
      <c r="C316" s="17" t="s">
        <v>37</v>
      </c>
      <c r="D316" s="17"/>
      <c r="E316" s="17">
        <v>348.03</v>
      </c>
      <c r="F316" s="142"/>
      <c r="G316" s="197">
        <f t="shared" si="44"/>
        <v>0</v>
      </c>
      <c r="H316" s="197"/>
      <c r="I316" s="62"/>
      <c r="J316" s="62">
        <f t="shared" si="46"/>
        <v>0</v>
      </c>
      <c r="K316" s="62"/>
      <c r="L316" s="62">
        <f t="shared" si="49"/>
        <v>0</v>
      </c>
      <c r="M316" s="181"/>
      <c r="N316" s="62"/>
      <c r="O316" s="62"/>
      <c r="P316" s="62">
        <f t="shared" si="47"/>
        <v>0</v>
      </c>
      <c r="Q316" s="181">
        <f t="shared" si="43"/>
        <v>0</v>
      </c>
      <c r="R316" s="23"/>
    </row>
    <row r="317" spans="1:18" ht="70.7" customHeight="1" x14ac:dyDescent="0.25">
      <c r="A317" s="257"/>
      <c r="B317" s="268"/>
      <c r="C317" s="17" t="s">
        <v>378</v>
      </c>
      <c r="D317" s="17"/>
      <c r="E317" s="17">
        <v>348.03</v>
      </c>
      <c r="F317" s="142"/>
      <c r="G317" s="197">
        <f t="shared" si="44"/>
        <v>0</v>
      </c>
      <c r="H317" s="197"/>
      <c r="I317" s="62"/>
      <c r="J317" s="62">
        <f t="shared" si="46"/>
        <v>0</v>
      </c>
      <c r="K317" s="62"/>
      <c r="L317" s="181"/>
      <c r="M317" s="181"/>
      <c r="N317" s="62"/>
      <c r="O317" s="62"/>
      <c r="P317" s="62">
        <f t="shared" si="47"/>
        <v>0</v>
      </c>
      <c r="Q317" s="181">
        <f t="shared" si="43"/>
        <v>0</v>
      </c>
      <c r="R317" s="23"/>
    </row>
    <row r="318" spans="1:18" ht="70.7" customHeight="1" x14ac:dyDescent="0.25">
      <c r="A318" s="257"/>
      <c r="B318" s="268"/>
      <c r="C318" s="17" t="s">
        <v>159</v>
      </c>
      <c r="D318" s="17"/>
      <c r="E318" s="17">
        <v>273.02999999999997</v>
      </c>
      <c r="F318" s="142"/>
      <c r="G318" s="197">
        <f t="shared" si="44"/>
        <v>0</v>
      </c>
      <c r="H318" s="197"/>
      <c r="I318" s="62"/>
      <c r="J318" s="62">
        <f t="shared" si="46"/>
        <v>0</v>
      </c>
      <c r="K318" s="62"/>
      <c r="L318" s="62"/>
      <c r="M318" s="181"/>
      <c r="N318" s="62"/>
      <c r="O318" s="62"/>
      <c r="P318" s="62">
        <f t="shared" si="47"/>
        <v>0</v>
      </c>
      <c r="Q318" s="181">
        <f t="shared" si="43"/>
        <v>0</v>
      </c>
      <c r="R318" s="23"/>
    </row>
    <row r="319" spans="1:18" ht="70.7" customHeight="1" x14ac:dyDescent="0.25">
      <c r="A319" s="257"/>
      <c r="B319" s="268"/>
      <c r="C319" s="318" t="s">
        <v>381</v>
      </c>
      <c r="D319" s="17"/>
      <c r="E319" s="17">
        <v>273.95</v>
      </c>
      <c r="F319" s="142">
        <v>15</v>
      </c>
      <c r="G319" s="197">
        <f t="shared" si="44"/>
        <v>4109.25</v>
      </c>
      <c r="H319" s="197">
        <f t="shared" si="45"/>
        <v>1369.75</v>
      </c>
      <c r="I319" s="62"/>
      <c r="J319" s="62">
        <f t="shared" si="46"/>
        <v>5479</v>
      </c>
      <c r="K319" s="62">
        <v>325.68</v>
      </c>
      <c r="L319" s="62">
        <f>G319*1.1875%</f>
        <v>48.797343750000003</v>
      </c>
      <c r="M319" s="181"/>
      <c r="N319" s="62">
        <f>G319*1%</f>
        <v>41.092500000000001</v>
      </c>
      <c r="O319" s="62"/>
      <c r="P319" s="62">
        <f t="shared" si="47"/>
        <v>415.56984375000002</v>
      </c>
      <c r="Q319" s="181">
        <f t="shared" si="43"/>
        <v>5063.4301562500004</v>
      </c>
      <c r="R319" s="23"/>
    </row>
    <row r="320" spans="1:18" ht="70.7" customHeight="1" x14ac:dyDescent="0.25">
      <c r="A320" s="257"/>
      <c r="B320" s="268"/>
      <c r="C320" s="320"/>
      <c r="D320" s="17"/>
      <c r="E320" s="243">
        <v>273.95</v>
      </c>
      <c r="F320" s="142">
        <v>15</v>
      </c>
      <c r="G320" s="197">
        <f t="shared" ref="G320" si="50">E320*F320</f>
        <v>4109.25</v>
      </c>
      <c r="H320" s="197">
        <f t="shared" si="45"/>
        <v>1369.75</v>
      </c>
      <c r="I320" s="62"/>
      <c r="J320" s="62">
        <f t="shared" ref="J320" si="51">G320+I320+H320</f>
        <v>5479</v>
      </c>
      <c r="K320" s="62">
        <v>325.68</v>
      </c>
      <c r="L320" s="62">
        <f>G320*1.1875%</f>
        <v>48.797343750000003</v>
      </c>
      <c r="M320" s="181"/>
      <c r="N320" s="62"/>
      <c r="O320" s="62"/>
      <c r="P320" s="62">
        <f t="shared" ref="P320" si="52">K320+L320+N320+O320+M320</f>
        <v>374.47734374999999</v>
      </c>
      <c r="Q320" s="181">
        <f t="shared" ref="Q320" si="53">J320-P320</f>
        <v>5104.5226562500002</v>
      </c>
      <c r="R320" s="23"/>
    </row>
    <row r="321" spans="1:18" ht="70.7" customHeight="1" x14ac:dyDescent="0.25">
      <c r="A321" s="257"/>
      <c r="B321" s="268"/>
      <c r="C321" s="17" t="s">
        <v>537</v>
      </c>
      <c r="D321" s="236"/>
      <c r="E321" s="236">
        <v>285.86</v>
      </c>
      <c r="F321" s="142">
        <v>15</v>
      </c>
      <c r="G321" s="197">
        <f t="shared" ref="G321" si="54">E321*F321</f>
        <v>4287.9000000000005</v>
      </c>
      <c r="H321" s="197">
        <f t="shared" si="45"/>
        <v>1429.3000000000002</v>
      </c>
      <c r="I321" s="62"/>
      <c r="J321" s="62">
        <f t="shared" ref="J321" si="55">G321+I321+H321</f>
        <v>5717.2000000000007</v>
      </c>
      <c r="K321" s="62">
        <v>346.65</v>
      </c>
      <c r="L321" s="62">
        <f>G321*1.1875%</f>
        <v>50.918812500000008</v>
      </c>
      <c r="M321" s="181"/>
      <c r="N321" s="62"/>
      <c r="O321" s="62"/>
      <c r="P321" s="62">
        <f t="shared" ref="P321" si="56">K321+L321+N321+O321+M321</f>
        <v>397.56881249999998</v>
      </c>
      <c r="Q321" s="181">
        <f t="shared" ref="Q321" si="57">J321-P321</f>
        <v>5319.631187500001</v>
      </c>
      <c r="R321" s="23"/>
    </row>
    <row r="322" spans="1:18" ht="70.7" customHeight="1" x14ac:dyDescent="0.25">
      <c r="A322" s="257"/>
      <c r="B322" s="268"/>
      <c r="C322" s="17" t="s">
        <v>371</v>
      </c>
      <c r="D322" s="17"/>
      <c r="E322" s="17">
        <v>285.86</v>
      </c>
      <c r="F322" s="142">
        <v>15</v>
      </c>
      <c r="G322" s="197">
        <f t="shared" si="44"/>
        <v>4287.9000000000005</v>
      </c>
      <c r="H322" s="197">
        <f t="shared" si="45"/>
        <v>1429.3000000000002</v>
      </c>
      <c r="I322" s="62"/>
      <c r="J322" s="62">
        <f t="shared" si="46"/>
        <v>5717.2000000000007</v>
      </c>
      <c r="K322" s="62">
        <v>346.65</v>
      </c>
      <c r="L322" s="62">
        <f>G322*1.1875%</f>
        <v>50.918812500000008</v>
      </c>
      <c r="M322" s="181"/>
      <c r="N322" s="62"/>
      <c r="O322" s="62"/>
      <c r="P322" s="62">
        <f t="shared" si="47"/>
        <v>397.56881249999998</v>
      </c>
      <c r="Q322" s="181">
        <f t="shared" si="43"/>
        <v>5319.631187500001</v>
      </c>
      <c r="R322" s="23"/>
    </row>
    <row r="323" spans="1:18" ht="70.7" customHeight="1" x14ac:dyDescent="0.25">
      <c r="A323" s="257"/>
      <c r="B323" s="268"/>
      <c r="C323" s="17" t="s">
        <v>372</v>
      </c>
      <c r="D323" s="17"/>
      <c r="E323" s="17">
        <v>273.95</v>
      </c>
      <c r="F323" s="142">
        <v>15</v>
      </c>
      <c r="G323" s="197">
        <f t="shared" si="44"/>
        <v>4109.25</v>
      </c>
      <c r="H323" s="197">
        <f t="shared" si="45"/>
        <v>1369.75</v>
      </c>
      <c r="I323" s="62"/>
      <c r="J323" s="62">
        <f t="shared" si="46"/>
        <v>5479</v>
      </c>
      <c r="K323" s="62">
        <v>325.68</v>
      </c>
      <c r="L323" s="62">
        <f>G323*1.1875%</f>
        <v>48.797343750000003</v>
      </c>
      <c r="M323" s="181"/>
      <c r="N323" s="62"/>
      <c r="O323" s="62"/>
      <c r="P323" s="62">
        <f t="shared" si="47"/>
        <v>374.47734374999999</v>
      </c>
      <c r="Q323" s="181">
        <f t="shared" si="43"/>
        <v>5104.5226562500002</v>
      </c>
      <c r="R323" s="23"/>
    </row>
    <row r="324" spans="1:18" ht="70.7" customHeight="1" x14ac:dyDescent="0.25">
      <c r="A324" s="257"/>
      <c r="B324" s="268"/>
      <c r="C324" s="23" t="s">
        <v>282</v>
      </c>
      <c r="D324" s="71"/>
      <c r="E324" s="17">
        <v>214.05</v>
      </c>
      <c r="F324" s="142"/>
      <c r="G324" s="197">
        <f t="shared" si="44"/>
        <v>0</v>
      </c>
      <c r="H324" s="197"/>
      <c r="I324" s="62"/>
      <c r="J324" s="62">
        <f t="shared" si="46"/>
        <v>0</v>
      </c>
      <c r="K324" s="62"/>
      <c r="L324" s="62">
        <f t="shared" ref="L324:L327" si="58">G324*1.1875%</f>
        <v>0</v>
      </c>
      <c r="M324" s="181"/>
      <c r="N324" s="62"/>
      <c r="O324" s="62"/>
      <c r="P324" s="62">
        <f t="shared" si="47"/>
        <v>0</v>
      </c>
      <c r="Q324" s="181">
        <f t="shared" si="43"/>
        <v>0</v>
      </c>
      <c r="R324" s="23"/>
    </row>
    <row r="325" spans="1:18" ht="70.7" customHeight="1" thickBot="1" x14ac:dyDescent="0.3">
      <c r="A325" s="263"/>
      <c r="B325" s="337" t="s">
        <v>272</v>
      </c>
      <c r="C325" s="336" t="s">
        <v>282</v>
      </c>
      <c r="D325" s="17"/>
      <c r="E325" s="17">
        <v>214.05</v>
      </c>
      <c r="F325" s="142">
        <v>15</v>
      </c>
      <c r="G325" s="197">
        <f t="shared" si="44"/>
        <v>3210.75</v>
      </c>
      <c r="H325" s="197">
        <f t="shared" si="45"/>
        <v>1070.25</v>
      </c>
      <c r="I325" s="62"/>
      <c r="J325" s="62">
        <f t="shared" si="46"/>
        <v>4281</v>
      </c>
      <c r="K325" s="62">
        <v>102.83</v>
      </c>
      <c r="L325" s="62">
        <f t="shared" si="58"/>
        <v>38.127656250000001</v>
      </c>
      <c r="M325" s="181"/>
      <c r="N325" s="62"/>
      <c r="O325" s="62"/>
      <c r="P325" s="62">
        <f t="shared" si="47"/>
        <v>140.95765625000001</v>
      </c>
      <c r="Q325" s="181">
        <f t="shared" si="43"/>
        <v>4140.0423437500003</v>
      </c>
      <c r="R325" s="23"/>
    </row>
    <row r="326" spans="1:18" ht="70.7" customHeight="1" x14ac:dyDescent="0.25">
      <c r="A326" s="250" t="s">
        <v>267</v>
      </c>
      <c r="B326" s="337"/>
      <c r="C326" s="336"/>
      <c r="D326" s="17"/>
      <c r="E326" s="17">
        <v>214.05</v>
      </c>
      <c r="F326" s="142">
        <v>15</v>
      </c>
      <c r="G326" s="197">
        <f t="shared" si="44"/>
        <v>3210.75</v>
      </c>
      <c r="H326" s="197">
        <f t="shared" si="45"/>
        <v>1070.25</v>
      </c>
      <c r="I326" s="62"/>
      <c r="J326" s="62">
        <f t="shared" si="46"/>
        <v>4281</v>
      </c>
      <c r="K326" s="62">
        <v>102.83</v>
      </c>
      <c r="L326" s="62">
        <f t="shared" si="58"/>
        <v>38.127656250000001</v>
      </c>
      <c r="M326" s="181"/>
      <c r="N326" s="62"/>
      <c r="O326" s="62"/>
      <c r="P326" s="62">
        <f t="shared" si="47"/>
        <v>140.95765625000001</v>
      </c>
      <c r="Q326" s="181">
        <f t="shared" si="43"/>
        <v>4140.0423437500003</v>
      </c>
      <c r="R326" s="23"/>
    </row>
    <row r="327" spans="1:18" ht="70.7" customHeight="1" x14ac:dyDescent="0.25">
      <c r="A327" s="251"/>
      <c r="B327" s="337"/>
      <c r="C327" s="336"/>
      <c r="D327" s="17"/>
      <c r="E327" s="17">
        <v>214.05</v>
      </c>
      <c r="F327" s="142">
        <v>15</v>
      </c>
      <c r="G327" s="197">
        <f t="shared" si="44"/>
        <v>3210.75</v>
      </c>
      <c r="H327" s="197">
        <f t="shared" si="45"/>
        <v>1070.25</v>
      </c>
      <c r="I327" s="62"/>
      <c r="J327" s="62">
        <f t="shared" si="46"/>
        <v>4281</v>
      </c>
      <c r="K327" s="62">
        <v>102.83</v>
      </c>
      <c r="L327" s="62">
        <f t="shared" si="58"/>
        <v>38.127656250000001</v>
      </c>
      <c r="M327" s="181"/>
      <c r="N327" s="62"/>
      <c r="O327" s="62"/>
      <c r="P327" s="62">
        <f t="shared" si="47"/>
        <v>140.95765625000001</v>
      </c>
      <c r="Q327" s="181">
        <f t="shared" si="43"/>
        <v>4140.0423437500003</v>
      </c>
      <c r="R327" s="23"/>
    </row>
    <row r="328" spans="1:18" ht="70.7" customHeight="1" x14ac:dyDescent="0.25">
      <c r="A328" s="251"/>
      <c r="B328" s="337"/>
      <c r="C328" s="336"/>
      <c r="D328" s="17"/>
      <c r="E328" s="17">
        <v>214.05</v>
      </c>
      <c r="F328" s="142">
        <v>15</v>
      </c>
      <c r="G328" s="197">
        <f>E328*F328</f>
        <v>3210.75</v>
      </c>
      <c r="H328" s="197">
        <f t="shared" si="45"/>
        <v>1070.25</v>
      </c>
      <c r="I328" s="62"/>
      <c r="J328" s="62">
        <f>G328+I328+H328</f>
        <v>4281</v>
      </c>
      <c r="K328" s="62">
        <v>102.83</v>
      </c>
      <c r="L328" s="62"/>
      <c r="M328" s="181"/>
      <c r="N328" s="62"/>
      <c r="O328" s="62"/>
      <c r="P328" s="62">
        <f>K328+L328+N328+O328+M328</f>
        <v>102.83</v>
      </c>
      <c r="Q328" s="181">
        <f>J328-P328</f>
        <v>4178.17</v>
      </c>
      <c r="R328" s="23"/>
    </row>
    <row r="329" spans="1:18" ht="70.7" customHeight="1" x14ac:dyDescent="0.25">
      <c r="A329" s="251"/>
      <c r="B329" s="337"/>
      <c r="C329" s="336"/>
      <c r="D329" s="17"/>
      <c r="E329" s="17">
        <v>214.05</v>
      </c>
      <c r="F329" s="142">
        <v>15</v>
      </c>
      <c r="G329" s="197">
        <f>E329*F329</f>
        <v>3210.75</v>
      </c>
      <c r="H329" s="197">
        <f>+E329*1.25</f>
        <v>267.5625</v>
      </c>
      <c r="I329" s="62"/>
      <c r="J329" s="62">
        <f>G329+I329+H329</f>
        <v>3478.3125</v>
      </c>
      <c r="K329" s="62">
        <v>102.83</v>
      </c>
      <c r="L329" s="62">
        <f>G328*1.1875%</f>
        <v>38.127656250000001</v>
      </c>
      <c r="M329" s="181"/>
      <c r="N329" s="62"/>
      <c r="O329" s="62"/>
      <c r="P329" s="62">
        <f>K329+L329+N329+O329+M329</f>
        <v>140.95765625000001</v>
      </c>
      <c r="Q329" s="181">
        <f>J329-P329</f>
        <v>3337.3548437499999</v>
      </c>
      <c r="R329" s="23"/>
    </row>
    <row r="330" spans="1:18" ht="70.7" customHeight="1" x14ac:dyDescent="0.25">
      <c r="A330" s="251"/>
      <c r="B330" s="337"/>
      <c r="C330" s="336"/>
      <c r="D330" s="17"/>
      <c r="E330" s="17">
        <v>214.05</v>
      </c>
      <c r="F330" s="142">
        <v>15</v>
      </c>
      <c r="G330" s="197">
        <f>E330*F330</f>
        <v>3210.75</v>
      </c>
      <c r="H330" s="197">
        <f t="shared" si="45"/>
        <v>1070.25</v>
      </c>
      <c r="I330" s="62"/>
      <c r="J330" s="62">
        <f>G330+I330+H330</f>
        <v>4281</v>
      </c>
      <c r="K330" s="62">
        <v>102.83</v>
      </c>
      <c r="L330" s="62">
        <f>G329*1.1875%</f>
        <v>38.127656250000001</v>
      </c>
      <c r="M330" s="181"/>
      <c r="N330" s="62"/>
      <c r="O330" s="62"/>
      <c r="P330" s="62">
        <f>K330+L330+N330+O330+M330</f>
        <v>140.95765625000001</v>
      </c>
      <c r="Q330" s="181">
        <f>J330-P330</f>
        <v>4140.0423437500003</v>
      </c>
      <c r="R330" s="23"/>
    </row>
    <row r="331" spans="1:18" ht="70.7" customHeight="1" x14ac:dyDescent="0.25">
      <c r="A331" s="251"/>
      <c r="B331" s="337"/>
      <c r="C331" s="336"/>
      <c r="D331" s="18"/>
      <c r="E331" s="239">
        <v>214.05</v>
      </c>
      <c r="F331" s="131">
        <v>15</v>
      </c>
      <c r="G331" s="36">
        <f t="shared" ref="G331" si="59">E331*F331</f>
        <v>3210.75</v>
      </c>
      <c r="H331" s="197">
        <f>+E331*1.25</f>
        <v>267.5625</v>
      </c>
      <c r="I331" s="240"/>
      <c r="J331" s="240">
        <f t="shared" ref="J331" si="60">G331+I331+H331</f>
        <v>3478.3125</v>
      </c>
      <c r="K331" s="240">
        <v>102.83</v>
      </c>
      <c r="L331" s="168"/>
      <c r="M331" s="168"/>
      <c r="N331" s="168"/>
      <c r="O331" s="168"/>
      <c r="P331" s="19">
        <f t="shared" ref="P331" si="61">K331+L331+M331+O331+N331</f>
        <v>102.83</v>
      </c>
      <c r="Q331" s="241">
        <f t="shared" ref="Q331" si="62">J331-P331</f>
        <v>3375.4825000000001</v>
      </c>
      <c r="R331" s="23"/>
    </row>
    <row r="332" spans="1:18" ht="70.7" customHeight="1" x14ac:dyDescent="0.25">
      <c r="A332" s="251"/>
      <c r="B332" s="337"/>
      <c r="C332" s="336"/>
      <c r="D332" s="17"/>
      <c r="E332" s="17">
        <v>214.05</v>
      </c>
      <c r="F332" s="142">
        <v>15</v>
      </c>
      <c r="G332" s="197">
        <f>E332*F332</f>
        <v>3210.75</v>
      </c>
      <c r="H332" s="197">
        <f t="shared" si="45"/>
        <v>1070.25</v>
      </c>
      <c r="I332" s="62"/>
      <c r="J332" s="62">
        <f>G332+I332+H332</f>
        <v>4281</v>
      </c>
      <c r="K332" s="62">
        <v>102.83</v>
      </c>
      <c r="L332" s="62"/>
      <c r="M332" s="181"/>
      <c r="N332" s="62"/>
      <c r="O332" s="62"/>
      <c r="P332" s="62">
        <f>K332+L332+N332+O332+M332</f>
        <v>102.83</v>
      </c>
      <c r="Q332" s="181">
        <f>J332-P332</f>
        <v>4178.17</v>
      </c>
      <c r="R332" s="23"/>
    </row>
    <row r="333" spans="1:18" ht="70.7" customHeight="1" x14ac:dyDescent="0.25">
      <c r="A333" s="251"/>
      <c r="B333" s="337"/>
      <c r="C333" s="336"/>
      <c r="D333" s="18"/>
      <c r="E333" s="239">
        <v>214.05</v>
      </c>
      <c r="F333" s="142">
        <v>15</v>
      </c>
      <c r="G333" s="19">
        <f>E333*F333</f>
        <v>3210.75</v>
      </c>
      <c r="H333" s="197">
        <f>+E333*1.25</f>
        <v>267.5625</v>
      </c>
      <c r="I333" s="19"/>
      <c r="J333" s="19">
        <f>G333+I333+H333</f>
        <v>3478.3125</v>
      </c>
      <c r="K333" s="19">
        <v>102.83</v>
      </c>
      <c r="L333" s="20"/>
      <c r="M333" s="20"/>
      <c r="N333" s="20"/>
      <c r="O333" s="20"/>
      <c r="P333" s="19">
        <f>K333+L333+N333+O333+M333</f>
        <v>102.83</v>
      </c>
      <c r="Q333" s="241">
        <f>J333-P333</f>
        <v>3375.4825000000001</v>
      </c>
      <c r="R333" s="23"/>
    </row>
    <row r="334" spans="1:18" ht="70.7" customHeight="1" x14ac:dyDescent="0.25">
      <c r="A334" s="251"/>
      <c r="B334" s="337"/>
      <c r="C334" s="336"/>
      <c r="D334" s="236"/>
      <c r="E334" s="236">
        <v>214.05</v>
      </c>
      <c r="F334" s="242"/>
      <c r="G334" s="73"/>
      <c r="H334" s="197"/>
      <c r="I334" s="73"/>
      <c r="J334" s="73"/>
      <c r="K334" s="73"/>
      <c r="L334" s="73"/>
      <c r="M334" s="200"/>
      <c r="N334" s="73"/>
      <c r="O334" s="73"/>
      <c r="P334" s="73"/>
      <c r="Q334" s="200"/>
      <c r="R334" s="23"/>
    </row>
    <row r="335" spans="1:18" ht="70.7" customHeight="1" x14ac:dyDescent="0.25">
      <c r="A335" s="251"/>
      <c r="B335" s="337"/>
      <c r="C335" s="336"/>
      <c r="D335" s="236"/>
      <c r="E335" s="236">
        <v>214.05</v>
      </c>
      <c r="F335" s="242"/>
      <c r="G335" s="73"/>
      <c r="H335" s="197"/>
      <c r="I335" s="73"/>
      <c r="J335" s="73"/>
      <c r="K335" s="73"/>
      <c r="L335" s="73"/>
      <c r="M335" s="200"/>
      <c r="N335" s="73"/>
      <c r="O335" s="73"/>
      <c r="P335" s="73"/>
      <c r="Q335" s="200"/>
      <c r="R335" s="23"/>
    </row>
    <row r="336" spans="1:18" ht="70.7" customHeight="1" x14ac:dyDescent="0.25">
      <c r="A336" s="251"/>
      <c r="B336" s="337"/>
      <c r="C336" s="336"/>
      <c r="D336" s="236"/>
      <c r="E336" s="236">
        <v>214.05</v>
      </c>
      <c r="F336" s="142"/>
      <c r="G336" s="197"/>
      <c r="H336" s="197"/>
      <c r="I336" s="62"/>
      <c r="J336" s="62"/>
      <c r="K336" s="62"/>
      <c r="L336" s="62"/>
      <c r="M336" s="181"/>
      <c r="N336" s="62"/>
      <c r="O336" s="62"/>
      <c r="P336" s="62"/>
      <c r="Q336" s="181"/>
      <c r="R336" s="23"/>
    </row>
    <row r="337" spans="1:18" ht="70.7" customHeight="1" x14ac:dyDescent="0.25">
      <c r="A337" s="278"/>
      <c r="B337" s="275" t="s">
        <v>280</v>
      </c>
      <c r="C337" s="324" t="s">
        <v>283</v>
      </c>
      <c r="D337" s="17" t="s">
        <v>281</v>
      </c>
      <c r="E337" s="17">
        <v>207.79</v>
      </c>
      <c r="F337" s="142">
        <v>15</v>
      </c>
      <c r="G337" s="197">
        <f>E337*F337</f>
        <v>3116.85</v>
      </c>
      <c r="H337" s="197">
        <f t="shared" si="45"/>
        <v>1038.95</v>
      </c>
      <c r="I337" s="62"/>
      <c r="J337" s="62">
        <f t="shared" si="46"/>
        <v>4155.8</v>
      </c>
      <c r="K337" s="62">
        <v>92.61</v>
      </c>
      <c r="L337" s="62">
        <f>G337*1.1875%</f>
        <v>37.012593750000001</v>
      </c>
      <c r="M337" s="181">
        <v>750</v>
      </c>
      <c r="N337" s="62"/>
      <c r="O337" s="62"/>
      <c r="P337" s="62">
        <f t="shared" si="47"/>
        <v>879.62259374999996</v>
      </c>
      <c r="Q337" s="181">
        <f t="shared" si="43"/>
        <v>3276.1774062500003</v>
      </c>
      <c r="R337" s="23"/>
    </row>
    <row r="338" spans="1:18" ht="70.7" customHeight="1" x14ac:dyDescent="0.25">
      <c r="A338" s="278"/>
      <c r="B338" s="275"/>
      <c r="C338" s="325"/>
      <c r="D338" s="17" t="s">
        <v>440</v>
      </c>
      <c r="E338" s="17">
        <v>207.79</v>
      </c>
      <c r="F338" s="142"/>
      <c r="G338" s="197">
        <f>E338*F338</f>
        <v>0</v>
      </c>
      <c r="H338" s="197"/>
      <c r="I338" s="62"/>
      <c r="J338" s="62">
        <f t="shared" si="46"/>
        <v>0</v>
      </c>
      <c r="K338" s="62"/>
      <c r="L338" s="62"/>
      <c r="M338" s="181"/>
      <c r="N338" s="62"/>
      <c r="O338" s="62"/>
      <c r="P338" s="62">
        <f t="shared" si="47"/>
        <v>0</v>
      </c>
      <c r="Q338" s="181">
        <f t="shared" si="43"/>
        <v>0</v>
      </c>
      <c r="R338" s="23"/>
    </row>
    <row r="339" spans="1:18" ht="70.7" customHeight="1" thickBot="1" x14ac:dyDescent="0.3">
      <c r="A339" s="279"/>
      <c r="B339" s="275"/>
      <c r="C339" s="326"/>
      <c r="D339" s="17" t="s">
        <v>440</v>
      </c>
      <c r="E339" s="17">
        <v>207.79</v>
      </c>
      <c r="F339" s="142"/>
      <c r="G339" s="197">
        <f>E339*F339</f>
        <v>0</v>
      </c>
      <c r="H339" s="197"/>
      <c r="I339" s="62"/>
      <c r="J339" s="62">
        <f t="shared" si="46"/>
        <v>0</v>
      </c>
      <c r="K339" s="62"/>
      <c r="L339" s="62"/>
      <c r="M339" s="181"/>
      <c r="N339" s="62"/>
      <c r="O339" s="62"/>
      <c r="P339" s="62">
        <f t="shared" si="47"/>
        <v>0</v>
      </c>
      <c r="Q339" s="185">
        <f t="shared" si="43"/>
        <v>0</v>
      </c>
      <c r="R339" s="23"/>
    </row>
    <row r="340" spans="1:18" ht="70.7" customHeight="1" thickBot="1" x14ac:dyDescent="0.3">
      <c r="A340" s="289" t="s">
        <v>428</v>
      </c>
      <c r="B340" s="290"/>
      <c r="C340" s="290"/>
      <c r="D340" s="290"/>
      <c r="E340" s="290"/>
      <c r="F340" s="291"/>
      <c r="G340" s="29">
        <f>SUM(G293:G339)</f>
        <v>159407.69999999998</v>
      </c>
      <c r="H340" s="29">
        <f t="shared" ref="H340:Q340" si="63">SUM(H293:H339)</f>
        <v>49873.113499999999</v>
      </c>
      <c r="I340" s="29">
        <f t="shared" si="63"/>
        <v>0</v>
      </c>
      <c r="J340" s="29">
        <f t="shared" si="63"/>
        <v>209280.81350000002</v>
      </c>
      <c r="K340" s="29">
        <f t="shared" si="63"/>
        <v>12858.980000000005</v>
      </c>
      <c r="L340" s="29">
        <f t="shared" si="63"/>
        <v>1691.6584687499997</v>
      </c>
      <c r="M340" s="29">
        <f t="shared" si="63"/>
        <v>2337.5</v>
      </c>
      <c r="N340" s="29">
        <f t="shared" si="63"/>
        <v>41.092500000000001</v>
      </c>
      <c r="O340" s="29">
        <f t="shared" si="63"/>
        <v>0</v>
      </c>
      <c r="P340" s="29">
        <f t="shared" si="63"/>
        <v>16929.230968750009</v>
      </c>
      <c r="Q340" s="29">
        <f t="shared" si="63"/>
        <v>192351.58253125011</v>
      </c>
      <c r="R340" s="58"/>
    </row>
    <row r="341" spans="1:18" ht="70.7" customHeight="1" x14ac:dyDescent="0.3">
      <c r="A341" s="49"/>
      <c r="B341" s="49"/>
      <c r="C341" s="49"/>
      <c r="D341" s="49"/>
      <c r="E341" s="49"/>
      <c r="F341" s="148"/>
      <c r="G341" s="50"/>
      <c r="H341" s="50"/>
      <c r="I341" s="50"/>
      <c r="J341" s="50"/>
      <c r="K341" s="50"/>
      <c r="L341" s="50"/>
      <c r="M341" s="207"/>
      <c r="N341" s="50"/>
      <c r="O341" s="50"/>
      <c r="P341" s="50"/>
      <c r="Q341" s="207"/>
      <c r="R341" s="49"/>
    </row>
    <row r="342" spans="1:18" ht="70.7" customHeight="1" x14ac:dyDescent="0.3">
      <c r="A342" s="49"/>
      <c r="B342" s="49"/>
      <c r="C342" s="49"/>
      <c r="D342" s="49"/>
      <c r="E342" s="49"/>
      <c r="F342" s="148"/>
      <c r="G342" s="50"/>
      <c r="H342" s="50"/>
      <c r="I342" s="50"/>
      <c r="J342" s="50"/>
      <c r="K342" s="50"/>
      <c r="L342" s="50"/>
      <c r="M342" s="207"/>
      <c r="N342" s="50"/>
      <c r="O342" s="50"/>
      <c r="P342" s="50"/>
      <c r="Q342" s="207"/>
      <c r="R342" s="49"/>
    </row>
    <row r="343" spans="1:18" ht="70.7" customHeight="1" x14ac:dyDescent="0.3">
      <c r="A343" s="49"/>
      <c r="B343" s="49"/>
      <c r="C343" s="49"/>
      <c r="D343" s="49"/>
      <c r="E343" s="49"/>
      <c r="F343" s="148"/>
      <c r="G343" s="50"/>
      <c r="H343" s="50"/>
      <c r="I343" s="50"/>
      <c r="J343" s="50"/>
      <c r="K343" s="50"/>
      <c r="L343" s="50"/>
      <c r="M343" s="207"/>
      <c r="N343" s="50"/>
      <c r="O343" s="50"/>
      <c r="P343" s="50"/>
      <c r="Q343" s="207"/>
      <c r="R343" s="49"/>
    </row>
    <row r="344" spans="1:18" ht="70.7" customHeight="1" x14ac:dyDescent="0.3">
      <c r="A344" s="49"/>
      <c r="B344" s="49"/>
      <c r="C344" s="49"/>
      <c r="D344" s="49"/>
      <c r="E344" s="49"/>
      <c r="F344" s="148"/>
      <c r="G344" s="50"/>
      <c r="H344" s="50"/>
      <c r="I344" s="50"/>
      <c r="J344" s="50"/>
      <c r="K344" s="50"/>
      <c r="L344" s="50"/>
      <c r="M344" s="207"/>
      <c r="N344" s="50"/>
      <c r="O344" s="50"/>
      <c r="P344" s="50"/>
      <c r="Q344" s="207"/>
      <c r="R344" s="49"/>
    </row>
    <row r="345" spans="1:18" ht="70.7" customHeight="1" thickBot="1" x14ac:dyDescent="0.35">
      <c r="A345" s="49"/>
      <c r="B345" s="49"/>
      <c r="C345" s="49"/>
      <c r="D345" s="49"/>
      <c r="E345" s="49"/>
      <c r="F345" s="148"/>
      <c r="G345" s="50"/>
      <c r="H345" s="50"/>
      <c r="I345" s="50"/>
      <c r="J345" s="50"/>
      <c r="K345" s="50"/>
      <c r="L345" s="50"/>
      <c r="M345" s="207"/>
      <c r="N345" s="50"/>
      <c r="O345" s="50"/>
      <c r="P345" s="50"/>
      <c r="Q345" s="207"/>
      <c r="R345" s="49"/>
    </row>
    <row r="346" spans="1:18" ht="70.7" customHeight="1" thickBot="1" x14ac:dyDescent="0.35">
      <c r="A346" s="273" t="s">
        <v>452</v>
      </c>
      <c r="B346" s="274"/>
      <c r="C346" s="274"/>
      <c r="D346" s="274"/>
      <c r="E346" s="274"/>
      <c r="F346" s="274"/>
      <c r="G346" s="61">
        <f t="shared" ref="G346:Q346" si="64">G279+G340</f>
        <v>1128813.2999999998</v>
      </c>
      <c r="H346" s="61">
        <f t="shared" si="64"/>
        <v>310169.28750000015</v>
      </c>
      <c r="I346" s="61">
        <f t="shared" si="64"/>
        <v>1517.1000000000001</v>
      </c>
      <c r="J346" s="61">
        <f t="shared" si="64"/>
        <v>1440499.6875000005</v>
      </c>
      <c r="K346" s="61">
        <f t="shared" si="64"/>
        <v>87724.020000000077</v>
      </c>
      <c r="L346" s="61">
        <f t="shared" si="64"/>
        <v>5782.9135783149995</v>
      </c>
      <c r="M346" s="61">
        <f t="shared" si="64"/>
        <v>12209.34</v>
      </c>
      <c r="N346" s="61">
        <f t="shared" si="64"/>
        <v>3166.4225000000015</v>
      </c>
      <c r="O346" s="61">
        <f t="shared" si="64"/>
        <v>10396.527000000002</v>
      </c>
      <c r="P346" s="61">
        <f t="shared" si="64"/>
        <v>119279.22307831493</v>
      </c>
      <c r="Q346" s="61">
        <f t="shared" si="64"/>
        <v>1321220.4644216853</v>
      </c>
      <c r="R346" s="49"/>
    </row>
    <row r="347" spans="1:18" ht="70.7" customHeight="1" x14ac:dyDescent="0.3">
      <c r="A347" s="49"/>
      <c r="B347" s="49"/>
      <c r="C347" s="49"/>
      <c r="D347" s="49"/>
      <c r="E347" s="49"/>
      <c r="F347" s="148"/>
      <c r="G347" s="50"/>
      <c r="H347" s="50"/>
      <c r="I347" s="50"/>
      <c r="J347" s="50"/>
      <c r="K347" s="50"/>
      <c r="L347" s="50"/>
      <c r="M347" s="207"/>
      <c r="N347" s="50"/>
      <c r="O347" s="50"/>
      <c r="P347" s="50"/>
      <c r="Q347" s="207"/>
      <c r="R347" s="49"/>
    </row>
    <row r="348" spans="1:18" ht="24.75" customHeight="1" x14ac:dyDescent="0.3">
      <c r="A348" s="49"/>
      <c r="B348" s="72" t="s">
        <v>495</v>
      </c>
      <c r="C348" s="74">
        <f>G14</f>
        <v>107725.50000000001</v>
      </c>
      <c r="D348" s="72" t="s">
        <v>500</v>
      </c>
      <c r="E348" s="74">
        <f>L279+EVENTUAL!K90+COMUDE!K11</f>
        <v>4682.5962658150002</v>
      </c>
      <c r="G348" s="73"/>
      <c r="H348" s="75"/>
      <c r="I348" s="74" t="s">
        <v>508</v>
      </c>
      <c r="J348" s="74" t="s">
        <v>509</v>
      </c>
      <c r="K348" s="74">
        <f>M340</f>
        <v>2337.5</v>
      </c>
      <c r="L348" s="50"/>
      <c r="M348" s="207"/>
      <c r="N348" s="50"/>
      <c r="O348" s="50"/>
      <c r="P348" s="50"/>
      <c r="Q348" s="207"/>
      <c r="R348" s="49"/>
    </row>
    <row r="349" spans="1:18" ht="24.75" customHeight="1" x14ac:dyDescent="0.25">
      <c r="B349" s="71" t="s">
        <v>496</v>
      </c>
      <c r="C349" s="73">
        <f>G244</f>
        <v>819014.39999999979</v>
      </c>
      <c r="D349" s="71" t="s">
        <v>501</v>
      </c>
      <c r="E349" s="73">
        <f>K279+EVENTUAL!J90+COMUDE!J11</f>
        <v>90139.160000000062</v>
      </c>
      <c r="G349" s="73" t="s">
        <v>496</v>
      </c>
      <c r="H349" s="75"/>
      <c r="I349" s="73">
        <f>G340</f>
        <v>159407.69999999998</v>
      </c>
      <c r="J349" s="73" t="s">
        <v>500</v>
      </c>
      <c r="K349" s="73">
        <f>L340</f>
        <v>1691.6584687499997</v>
      </c>
    </row>
    <row r="350" spans="1:18" ht="24.75" customHeight="1" x14ac:dyDescent="0.25">
      <c r="B350" s="71" t="s">
        <v>497</v>
      </c>
      <c r="C350" s="73">
        <f>EVENTUAL!F90+COMUDE!F11</f>
        <v>306767.05000000016</v>
      </c>
      <c r="D350" s="71" t="s">
        <v>502</v>
      </c>
      <c r="E350" s="73">
        <f>N14+N244</f>
        <v>3125.3300000000013</v>
      </c>
      <c r="G350" s="73" t="s">
        <v>505</v>
      </c>
      <c r="H350" s="75"/>
      <c r="I350" s="73">
        <f>I340</f>
        <v>0</v>
      </c>
      <c r="J350" s="73" t="s">
        <v>501</v>
      </c>
      <c r="K350" s="73">
        <f>K340</f>
        <v>12858.980000000005</v>
      </c>
    </row>
    <row r="351" spans="1:18" ht="24.75" customHeight="1" x14ac:dyDescent="0.25">
      <c r="B351" s="71" t="s">
        <v>498</v>
      </c>
      <c r="C351" s="73">
        <f>G273</f>
        <v>42665.7</v>
      </c>
      <c r="D351" s="71" t="s">
        <v>503</v>
      </c>
      <c r="E351" s="73">
        <f>O14+O244+EVENTUAL!N90+COMUDE!N11</f>
        <v>11391.030000000002</v>
      </c>
      <c r="G351" s="73" t="s">
        <v>619</v>
      </c>
      <c r="H351" s="75"/>
      <c r="I351" s="73">
        <f>H340</f>
        <v>49873.113499999999</v>
      </c>
      <c r="J351" s="73" t="s">
        <v>502</v>
      </c>
      <c r="K351" s="73">
        <f>N340</f>
        <v>41.092500000000001</v>
      </c>
    </row>
    <row r="352" spans="1:18" ht="24.75" customHeight="1" x14ac:dyDescent="0.25">
      <c r="B352" s="71" t="s">
        <v>499</v>
      </c>
      <c r="C352" s="73">
        <f>I14+I244+EVENTUAL!H90+COMUDE!H11</f>
        <v>2788.32</v>
      </c>
      <c r="D352" s="71" t="s">
        <v>504</v>
      </c>
      <c r="E352" s="76">
        <f>Q14+Q244+Q273+EVENTUAL!P90+COMUDE!P11</f>
        <v>1465127.2511341851</v>
      </c>
      <c r="G352" s="73"/>
      <c r="H352" s="75"/>
      <c r="I352" s="73"/>
      <c r="J352" s="73" t="s">
        <v>506</v>
      </c>
      <c r="K352" s="73">
        <f>O340</f>
        <v>0</v>
      </c>
    </row>
    <row r="353" spans="2:11" ht="24.75" customHeight="1" x14ac:dyDescent="0.25">
      <c r="B353" s="71" t="s">
        <v>619</v>
      </c>
      <c r="C353" s="73">
        <f>H14+H244+EVENTUAL!G90+COMUDE!G11</f>
        <v>306709.53740000015</v>
      </c>
      <c r="D353" s="71" t="s">
        <v>509</v>
      </c>
      <c r="E353" s="73">
        <f>M14+M244+M273+EVENTUAL!M90+COMUDE!M11</f>
        <v>11205.14</v>
      </c>
      <c r="G353" s="73"/>
      <c r="H353" s="75"/>
      <c r="I353" s="73"/>
      <c r="J353" s="73" t="s">
        <v>507</v>
      </c>
      <c r="K353" s="76">
        <f>Q340</f>
        <v>192351.58253125011</v>
      </c>
    </row>
    <row r="354" spans="2:11" ht="24.75" customHeight="1" x14ac:dyDescent="0.25">
      <c r="B354" s="73">
        <f>SUM(C348:C353)</f>
        <v>1585670.5074</v>
      </c>
      <c r="C354" s="71"/>
      <c r="D354" s="73">
        <f>SUM(E348:E353)</f>
        <v>1585670.5074</v>
      </c>
      <c r="E354" s="73"/>
      <c r="G354" s="73">
        <f>SUM(I348:I352)</f>
        <v>209280.81349999999</v>
      </c>
      <c r="H354" s="75"/>
      <c r="I354" s="73"/>
      <c r="J354" s="73">
        <f>SUM(K348:K353)</f>
        <v>209280.81350000011</v>
      </c>
      <c r="K354" s="73"/>
    </row>
    <row r="355" spans="2:11" ht="70.7" customHeight="1" x14ac:dyDescent="0.25"/>
    <row r="356" spans="2:11" ht="70.7" customHeight="1" x14ac:dyDescent="0.25">
      <c r="D356" s="1"/>
      <c r="G356" s="2"/>
    </row>
    <row r="357" spans="2:11" ht="70.7" customHeight="1" x14ac:dyDescent="0.25"/>
    <row r="358" spans="2:11" ht="70.7" customHeight="1" x14ac:dyDescent="0.25"/>
    <row r="359" spans="2:11" ht="70.7" customHeight="1" x14ac:dyDescent="0.25"/>
    <row r="360" spans="2:11" ht="70.7" customHeight="1" x14ac:dyDescent="0.25"/>
    <row r="361" spans="2:11" ht="70.7" customHeight="1" x14ac:dyDescent="0.25"/>
    <row r="362" spans="2:11" ht="70.7" customHeight="1" x14ac:dyDescent="0.25"/>
    <row r="363" spans="2:11" ht="70.7" customHeight="1" x14ac:dyDescent="0.25"/>
    <row r="364" spans="2:11" ht="70.7" customHeight="1" x14ac:dyDescent="0.25"/>
    <row r="365" spans="2:11" ht="70.7" customHeight="1" x14ac:dyDescent="0.25"/>
    <row r="366" spans="2:11" ht="70.7" customHeight="1" x14ac:dyDescent="0.25"/>
    <row r="367" spans="2:11" ht="70.7" customHeight="1" x14ac:dyDescent="0.25"/>
    <row r="368" spans="2:11" ht="70.7" customHeight="1" x14ac:dyDescent="0.25"/>
    <row r="369" ht="70.7" customHeight="1" x14ac:dyDescent="0.25"/>
    <row r="370" ht="70.7" customHeight="1" x14ac:dyDescent="0.25"/>
  </sheetData>
  <mergeCells count="114">
    <mergeCell ref="B104:B106"/>
    <mergeCell ref="B119:B120"/>
    <mergeCell ref="B121:B123"/>
    <mergeCell ref="B145:B151"/>
    <mergeCell ref="B152:B162"/>
    <mergeCell ref="B163:B173"/>
    <mergeCell ref="B174:B180"/>
    <mergeCell ref="B181:B198"/>
    <mergeCell ref="B124:B126"/>
    <mergeCell ref="B127:B128"/>
    <mergeCell ref="B142:B144"/>
    <mergeCell ref="B137:B138"/>
    <mergeCell ref="K254:P254"/>
    <mergeCell ref="A244:F244"/>
    <mergeCell ref="B229:B231"/>
    <mergeCell ref="B235:B238"/>
    <mergeCell ref="B210:B212"/>
    <mergeCell ref="B241:B243"/>
    <mergeCell ref="A235:A238"/>
    <mergeCell ref="B232:B233"/>
    <mergeCell ref="B215:B216"/>
    <mergeCell ref="B199:B207"/>
    <mergeCell ref="B217:B228"/>
    <mergeCell ref="B239:B240"/>
    <mergeCell ref="A326:A339"/>
    <mergeCell ref="C337:C339"/>
    <mergeCell ref="B337:B339"/>
    <mergeCell ref="A279:F279"/>
    <mergeCell ref="E254:J254"/>
    <mergeCell ref="A273:F273"/>
    <mergeCell ref="A254:D254"/>
    <mergeCell ref="C319:C320"/>
    <mergeCell ref="C308:C315"/>
    <mergeCell ref="B308:B315"/>
    <mergeCell ref="A293:A307"/>
    <mergeCell ref="A308:A325"/>
    <mergeCell ref="C298:C307"/>
    <mergeCell ref="B293:B307"/>
    <mergeCell ref="C325:C336"/>
    <mergeCell ref="B316:B324"/>
    <mergeCell ref="B325:B336"/>
    <mergeCell ref="A256:B270"/>
    <mergeCell ref="E20:J20"/>
    <mergeCell ref="A1:R1"/>
    <mergeCell ref="A19:R19"/>
    <mergeCell ref="E2:J2"/>
    <mergeCell ref="K2:P2"/>
    <mergeCell ref="A2:D2"/>
    <mergeCell ref="Q2:R2"/>
    <mergeCell ref="B49:B52"/>
    <mergeCell ref="B208:B209"/>
    <mergeCell ref="B135:B136"/>
    <mergeCell ref="B140:B141"/>
    <mergeCell ref="C192:C193"/>
    <mergeCell ref="B131:B134"/>
    <mergeCell ref="C164:C167"/>
    <mergeCell ref="C168:C171"/>
    <mergeCell ref="C157:C161"/>
    <mergeCell ref="B46:B47"/>
    <mergeCell ref="B63:B67"/>
    <mergeCell ref="B57:B62"/>
    <mergeCell ref="A31:A35"/>
    <mergeCell ref="B43:B45"/>
    <mergeCell ref="A20:D20"/>
    <mergeCell ref="C201:C205"/>
    <mergeCell ref="B53:B54"/>
    <mergeCell ref="B37:B41"/>
    <mergeCell ref="A346:F346"/>
    <mergeCell ref="B92:B97"/>
    <mergeCell ref="C105:C106"/>
    <mergeCell ref="B111:B118"/>
    <mergeCell ref="B129:B130"/>
    <mergeCell ref="A4:A13"/>
    <mergeCell ref="A22:A30"/>
    <mergeCell ref="A36:A42"/>
    <mergeCell ref="B4:B13"/>
    <mergeCell ref="B22:B30"/>
    <mergeCell ref="B32:B33"/>
    <mergeCell ref="B34:B35"/>
    <mergeCell ref="A253:R253"/>
    <mergeCell ref="A290:R290"/>
    <mergeCell ref="A340:F340"/>
    <mergeCell ref="Q254:R254"/>
    <mergeCell ref="A14:F14"/>
    <mergeCell ref="K20:P20"/>
    <mergeCell ref="Q20:R20"/>
    <mergeCell ref="A291:D291"/>
    <mergeCell ref="E291:J291"/>
    <mergeCell ref="K291:P291"/>
    <mergeCell ref="Q291:R291"/>
    <mergeCell ref="B55:B56"/>
    <mergeCell ref="A271:B272"/>
    <mergeCell ref="A239:A243"/>
    <mergeCell ref="A43:A54"/>
    <mergeCell ref="A55:A70"/>
    <mergeCell ref="A71:A72"/>
    <mergeCell ref="A73:A90"/>
    <mergeCell ref="A91:A108"/>
    <mergeCell ref="A109:A126"/>
    <mergeCell ref="A127:A134"/>
    <mergeCell ref="A135:A144"/>
    <mergeCell ref="A145:A151"/>
    <mergeCell ref="A152:A162"/>
    <mergeCell ref="A163:A180"/>
    <mergeCell ref="A181:A198"/>
    <mergeCell ref="A199:A216"/>
    <mergeCell ref="A217:A228"/>
    <mergeCell ref="A229:A234"/>
    <mergeCell ref="B68:B69"/>
    <mergeCell ref="B98:B103"/>
    <mergeCell ref="B71:B72"/>
    <mergeCell ref="B73:B90"/>
    <mergeCell ref="B107:B108"/>
    <mergeCell ref="B109:B110"/>
  </mergeCells>
  <phoneticPr fontId="3" type="noConversion"/>
  <pageMargins left="0.25" right="0.25" top="0.75" bottom="0.75" header="0.3" footer="0.3"/>
  <pageSetup scale="39" fitToHeight="0" orientation="landscape" r:id="rId1"/>
  <headerFooter>
    <oddHeader>&amp;C&amp;"Arial,Negrita"&amp;14MUNICIPIO DE TECALITLAN JALISCO
PORTAL VICTORIA NO.9      RFC:MTE871101HLA     TEL:371-41-8-01-69
NOMINA QUINCENAL GENERAL DEL 16 AL 30 DE NOVIEMBRE DEL 2019
 Y PRIMA VACACIONAL DEL PERIODO OCTUBRE 2018-SEPTIEMBRE 2019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7"/>
  <sheetViews>
    <sheetView view="pageLayout" topLeftCell="A88" zoomScale="40" zoomScaleNormal="50" zoomScalePageLayoutView="40" workbookViewId="0">
      <selection activeCell="F90" sqref="F90"/>
    </sheetView>
  </sheetViews>
  <sheetFormatPr baseColWidth="10" defaultRowHeight="23.25" x14ac:dyDescent="0.35"/>
  <cols>
    <col min="1" max="1" width="28.125" style="78" customWidth="1"/>
    <col min="2" max="2" width="31.875" style="79" customWidth="1"/>
    <col min="3" max="3" width="37.75" style="78" customWidth="1"/>
    <col min="4" max="4" width="22.625" style="160" customWidth="1"/>
    <col min="5" max="5" width="18" style="123" customWidth="1"/>
    <col min="6" max="6" width="29.5" style="230" bestFit="1" customWidth="1"/>
    <col min="7" max="7" width="26.875" style="87" bestFit="1" customWidth="1"/>
    <col min="8" max="8" width="37.25" style="230" bestFit="1" customWidth="1"/>
    <col min="9" max="9" width="30.5" style="230" bestFit="1" customWidth="1"/>
    <col min="10" max="10" width="28.125" style="230" customWidth="1"/>
    <col min="11" max="11" width="21.75" style="87" customWidth="1"/>
    <col min="12" max="12" width="16.5" style="87" customWidth="1"/>
    <col min="13" max="13" width="24.75" style="87" customWidth="1"/>
    <col min="14" max="14" width="28.125" style="87" customWidth="1"/>
    <col min="15" max="15" width="28.125" style="230" customWidth="1"/>
    <col min="16" max="16" width="31.375" style="230" bestFit="1" customWidth="1"/>
    <col min="17" max="17" width="82.625" style="78" customWidth="1"/>
    <col min="18" max="16384" width="11" style="78"/>
  </cols>
  <sheetData>
    <row r="1" spans="1:18" ht="93" customHeight="1" thickBot="1" x14ac:dyDescent="0.4">
      <c r="A1" s="351" t="s">
        <v>453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3"/>
    </row>
    <row r="2" spans="1:18" ht="93" customHeight="1" thickBot="1" x14ac:dyDescent="0.4">
      <c r="A2" s="359"/>
      <c r="B2" s="360"/>
      <c r="C2" s="361"/>
      <c r="D2" s="356" t="s">
        <v>414</v>
      </c>
      <c r="E2" s="357"/>
      <c r="F2" s="357"/>
      <c r="G2" s="357"/>
      <c r="H2" s="357"/>
      <c r="I2" s="358"/>
      <c r="J2" s="356" t="s">
        <v>419</v>
      </c>
      <c r="K2" s="357"/>
      <c r="L2" s="357"/>
      <c r="M2" s="357"/>
      <c r="N2" s="357"/>
      <c r="O2" s="358"/>
      <c r="P2" s="354"/>
      <c r="Q2" s="355"/>
    </row>
    <row r="3" spans="1:18" s="90" customFormat="1" ht="93" customHeight="1" x14ac:dyDescent="0.25">
      <c r="A3" s="114" t="s">
        <v>0</v>
      </c>
      <c r="B3" s="115" t="s">
        <v>2</v>
      </c>
      <c r="C3" s="116" t="s">
        <v>3</v>
      </c>
      <c r="D3" s="153" t="s">
        <v>4</v>
      </c>
      <c r="E3" s="127" t="s">
        <v>425</v>
      </c>
      <c r="F3" s="231" t="s">
        <v>417</v>
      </c>
      <c r="G3" s="128" t="s">
        <v>619</v>
      </c>
      <c r="H3" s="231" t="s">
        <v>418</v>
      </c>
      <c r="I3" s="233" t="s">
        <v>421</v>
      </c>
      <c r="J3" s="235" t="s">
        <v>415</v>
      </c>
      <c r="K3" s="128" t="s">
        <v>416</v>
      </c>
      <c r="L3" s="128" t="s">
        <v>432</v>
      </c>
      <c r="M3" s="128" t="s">
        <v>510</v>
      </c>
      <c r="N3" s="128" t="s">
        <v>420</v>
      </c>
      <c r="O3" s="233" t="s">
        <v>422</v>
      </c>
      <c r="P3" s="222" t="s">
        <v>423</v>
      </c>
      <c r="Q3" s="117" t="s">
        <v>424</v>
      </c>
      <c r="R3" s="89"/>
    </row>
    <row r="4" spans="1:18" ht="99.2" customHeight="1" x14ac:dyDescent="0.35">
      <c r="A4" s="104" t="s">
        <v>212</v>
      </c>
      <c r="B4" s="104" t="s">
        <v>434</v>
      </c>
      <c r="C4" s="105" t="s">
        <v>342</v>
      </c>
      <c r="D4" s="154">
        <v>190.89</v>
      </c>
      <c r="E4" s="119">
        <v>15</v>
      </c>
      <c r="F4" s="232">
        <f t="shared" ref="F4:F28" si="0">D4*E4</f>
        <v>2863.35</v>
      </c>
      <c r="G4" s="107">
        <f>+D4*5</f>
        <v>954.44999999999993</v>
      </c>
      <c r="H4" s="223"/>
      <c r="I4" s="223">
        <f>F4+H4+G4</f>
        <v>3817.7999999999997</v>
      </c>
      <c r="J4" s="223">
        <v>44.78</v>
      </c>
      <c r="K4" s="106"/>
      <c r="L4" s="106"/>
      <c r="M4" s="106"/>
      <c r="N4" s="106"/>
      <c r="O4" s="223">
        <f>J4+K4+L4+N4+M4</f>
        <v>44.78</v>
      </c>
      <c r="P4" s="223">
        <f>I4-O4</f>
        <v>3773.0199999999995</v>
      </c>
      <c r="Q4" s="104"/>
      <c r="R4" s="80"/>
    </row>
    <row r="5" spans="1:18" ht="99.2" customHeight="1" x14ac:dyDescent="0.35">
      <c r="A5" s="362" t="s">
        <v>186</v>
      </c>
      <c r="B5" s="104" t="s">
        <v>544</v>
      </c>
      <c r="C5" s="105" t="s">
        <v>379</v>
      </c>
      <c r="D5" s="154">
        <v>252.74</v>
      </c>
      <c r="E5" s="119">
        <v>15</v>
      </c>
      <c r="F5" s="232">
        <f t="shared" si="0"/>
        <v>3791.1000000000004</v>
      </c>
      <c r="G5" s="107">
        <f t="shared" ref="G5:G47" si="1">+D5*5</f>
        <v>1263.7</v>
      </c>
      <c r="H5" s="223"/>
      <c r="I5" s="223">
        <f t="shared" ref="I5:I41" si="2">F5+H5+G5</f>
        <v>5054.8</v>
      </c>
      <c r="J5" s="223">
        <v>291.07</v>
      </c>
      <c r="K5" s="106"/>
      <c r="L5" s="106"/>
      <c r="M5" s="106"/>
      <c r="N5" s="106"/>
      <c r="O5" s="223">
        <f t="shared" ref="O5:O43" si="3">J5+K5+L5+N5+M5</f>
        <v>291.07</v>
      </c>
      <c r="P5" s="223">
        <f t="shared" ref="P5:P43" si="4">I5-O5</f>
        <v>4763.7300000000005</v>
      </c>
      <c r="Q5" s="104"/>
      <c r="R5" s="80"/>
    </row>
    <row r="6" spans="1:18" ht="99.2" customHeight="1" x14ac:dyDescent="0.35">
      <c r="A6" s="362"/>
      <c r="B6" s="104" t="s">
        <v>456</v>
      </c>
      <c r="C6" s="105" t="s">
        <v>457</v>
      </c>
      <c r="D6" s="154">
        <v>221.66</v>
      </c>
      <c r="E6" s="119">
        <v>15</v>
      </c>
      <c r="F6" s="232">
        <f t="shared" si="0"/>
        <v>3324.9</v>
      </c>
      <c r="G6" s="107">
        <f t="shared" si="1"/>
        <v>1108.3</v>
      </c>
      <c r="H6" s="223"/>
      <c r="I6" s="223">
        <f t="shared" si="2"/>
        <v>4433.2</v>
      </c>
      <c r="J6" s="223">
        <v>115.25</v>
      </c>
      <c r="K6" s="106">
        <f>F6*1.1875%</f>
        <v>39.4831875</v>
      </c>
      <c r="L6" s="106"/>
      <c r="M6" s="106">
        <v>1000</v>
      </c>
      <c r="N6" s="106"/>
      <c r="O6" s="223">
        <f t="shared" si="3"/>
        <v>1154.7331875</v>
      </c>
      <c r="P6" s="223">
        <f t="shared" si="4"/>
        <v>3278.4668124999998</v>
      </c>
      <c r="Q6" s="104"/>
      <c r="R6" s="80"/>
    </row>
    <row r="7" spans="1:18" ht="99.2" customHeight="1" x14ac:dyDescent="0.35">
      <c r="A7" s="362"/>
      <c r="B7" s="104" t="s">
        <v>515</v>
      </c>
      <c r="C7" s="105" t="s">
        <v>431</v>
      </c>
      <c r="D7" s="154">
        <v>358.8</v>
      </c>
      <c r="E7" s="119">
        <v>15</v>
      </c>
      <c r="F7" s="232">
        <f t="shared" si="0"/>
        <v>5382</v>
      </c>
      <c r="G7" s="107">
        <f t="shared" si="1"/>
        <v>1794</v>
      </c>
      <c r="H7" s="223"/>
      <c r="I7" s="223">
        <f t="shared" si="2"/>
        <v>7176</v>
      </c>
      <c r="J7" s="223">
        <v>530.04</v>
      </c>
      <c r="K7" s="106"/>
      <c r="L7" s="106"/>
      <c r="M7" s="106"/>
      <c r="N7" s="106">
        <f>F7*3%</f>
        <v>161.46</v>
      </c>
      <c r="O7" s="223">
        <f t="shared" si="3"/>
        <v>691.5</v>
      </c>
      <c r="P7" s="223">
        <f t="shared" si="4"/>
        <v>6484.5</v>
      </c>
      <c r="Q7" s="104"/>
      <c r="R7" s="80"/>
    </row>
    <row r="8" spans="1:18" ht="99.2" customHeight="1" x14ac:dyDescent="0.35">
      <c r="A8" s="104" t="s">
        <v>74</v>
      </c>
      <c r="B8" s="109" t="s">
        <v>87</v>
      </c>
      <c r="C8" s="109" t="s">
        <v>463</v>
      </c>
      <c r="D8" s="155">
        <v>248.48</v>
      </c>
      <c r="E8" s="120">
        <v>15</v>
      </c>
      <c r="F8" s="232">
        <f t="shared" si="0"/>
        <v>3727.2</v>
      </c>
      <c r="G8" s="107">
        <f>+D8*4.58</f>
        <v>1138.0383999999999</v>
      </c>
      <c r="H8" s="223"/>
      <c r="I8" s="223">
        <f t="shared" si="2"/>
        <v>4865.2384000000002</v>
      </c>
      <c r="J8" s="223">
        <v>284.12</v>
      </c>
      <c r="K8" s="106"/>
      <c r="L8" s="106"/>
      <c r="M8" s="106"/>
      <c r="N8" s="106"/>
      <c r="O8" s="223">
        <f t="shared" si="3"/>
        <v>284.12</v>
      </c>
      <c r="P8" s="224">
        <f t="shared" si="4"/>
        <v>4581.1184000000003</v>
      </c>
      <c r="Q8" s="104"/>
      <c r="R8" s="80"/>
    </row>
    <row r="9" spans="1:18" ht="99.2" customHeight="1" x14ac:dyDescent="0.35">
      <c r="A9" s="104" t="s">
        <v>436</v>
      </c>
      <c r="B9" s="104" t="s">
        <v>435</v>
      </c>
      <c r="C9" s="105" t="s">
        <v>461</v>
      </c>
      <c r="D9" s="154">
        <v>488</v>
      </c>
      <c r="E9" s="119">
        <v>15</v>
      </c>
      <c r="F9" s="232">
        <f t="shared" si="0"/>
        <v>7320</v>
      </c>
      <c r="G9" s="107">
        <f>+D9*5</f>
        <v>2440</v>
      </c>
      <c r="H9" s="223"/>
      <c r="I9" s="223">
        <f t="shared" si="2"/>
        <v>9760</v>
      </c>
      <c r="J9" s="223">
        <v>925.38</v>
      </c>
      <c r="K9" s="106"/>
      <c r="L9" s="106"/>
      <c r="M9" s="106"/>
      <c r="N9" s="106">
        <f>F9*3%</f>
        <v>219.6</v>
      </c>
      <c r="O9" s="223">
        <f t="shared" si="3"/>
        <v>1144.98</v>
      </c>
      <c r="P9" s="223">
        <f t="shared" si="4"/>
        <v>8615.02</v>
      </c>
      <c r="Q9" s="104"/>
      <c r="R9" s="80"/>
    </row>
    <row r="10" spans="1:18" ht="99.2" customHeight="1" x14ac:dyDescent="0.35">
      <c r="A10" s="104" t="s">
        <v>549</v>
      </c>
      <c r="B10" s="104" t="s">
        <v>550</v>
      </c>
      <c r="C10" s="105" t="s">
        <v>551</v>
      </c>
      <c r="D10" s="154">
        <v>292.60000000000002</v>
      </c>
      <c r="E10" s="119">
        <v>15</v>
      </c>
      <c r="F10" s="232">
        <f t="shared" si="0"/>
        <v>4389</v>
      </c>
      <c r="G10" s="107">
        <f t="shared" si="1"/>
        <v>1463</v>
      </c>
      <c r="H10" s="223"/>
      <c r="I10" s="223">
        <f t="shared" si="2"/>
        <v>5852</v>
      </c>
      <c r="J10" s="223">
        <v>364.09</v>
      </c>
      <c r="K10" s="106">
        <f>F10*1.1875%</f>
        <v>52.119374999999998</v>
      </c>
      <c r="L10" s="106"/>
      <c r="M10" s="106"/>
      <c r="N10" s="106"/>
      <c r="O10" s="223">
        <f t="shared" si="3"/>
        <v>416.20937499999997</v>
      </c>
      <c r="P10" s="223">
        <f t="shared" si="4"/>
        <v>5435.7906249999996</v>
      </c>
      <c r="Q10" s="104"/>
      <c r="R10" s="80"/>
    </row>
    <row r="11" spans="1:18" ht="99.2" customHeight="1" x14ac:dyDescent="0.35">
      <c r="A11" s="104" t="s">
        <v>186</v>
      </c>
      <c r="B11" s="104" t="s">
        <v>449</v>
      </c>
      <c r="C11" s="105" t="s">
        <v>448</v>
      </c>
      <c r="D11" s="156">
        <v>166.93</v>
      </c>
      <c r="E11" s="119">
        <v>15</v>
      </c>
      <c r="F11" s="232">
        <f t="shared" si="0"/>
        <v>2503.9500000000003</v>
      </c>
      <c r="G11" s="107">
        <f>+D11*4.56</f>
        <v>761.20079999999996</v>
      </c>
      <c r="H11" s="223">
        <v>9.32</v>
      </c>
      <c r="I11" s="223">
        <f t="shared" si="2"/>
        <v>3274.4708000000005</v>
      </c>
      <c r="J11" s="223"/>
      <c r="K11" s="106"/>
      <c r="L11" s="106"/>
      <c r="M11" s="106"/>
      <c r="N11" s="106"/>
      <c r="O11" s="223">
        <f t="shared" si="3"/>
        <v>0</v>
      </c>
      <c r="P11" s="224">
        <f t="shared" si="4"/>
        <v>3274.4708000000005</v>
      </c>
      <c r="Q11" s="104"/>
      <c r="R11" s="80"/>
    </row>
    <row r="12" spans="1:18" ht="99.2" customHeight="1" x14ac:dyDescent="0.35">
      <c r="A12" s="104" t="s">
        <v>186</v>
      </c>
      <c r="B12" s="104" t="s">
        <v>514</v>
      </c>
      <c r="C12" s="105" t="s">
        <v>513</v>
      </c>
      <c r="D12" s="154">
        <v>128.11000000000001</v>
      </c>
      <c r="E12" s="119">
        <v>15</v>
      </c>
      <c r="F12" s="232">
        <f t="shared" si="0"/>
        <v>1921.65</v>
      </c>
      <c r="G12" s="107">
        <f>+D12*3.75</f>
        <v>480.41250000000002</v>
      </c>
      <c r="H12" s="223">
        <v>78.430000000000007</v>
      </c>
      <c r="I12" s="223">
        <f t="shared" si="2"/>
        <v>2480.4925000000003</v>
      </c>
      <c r="J12" s="223"/>
      <c r="K12" s="106"/>
      <c r="L12" s="106"/>
      <c r="M12" s="106"/>
      <c r="N12" s="106"/>
      <c r="O12" s="223">
        <f t="shared" si="3"/>
        <v>0</v>
      </c>
      <c r="P12" s="224">
        <f t="shared" si="4"/>
        <v>2480.4925000000003</v>
      </c>
      <c r="Q12" s="104"/>
      <c r="R12" s="80"/>
    </row>
    <row r="13" spans="1:18" ht="99.2" customHeight="1" x14ac:dyDescent="0.35">
      <c r="A13" s="104" t="s">
        <v>486</v>
      </c>
      <c r="B13" s="104" t="s">
        <v>484</v>
      </c>
      <c r="C13" s="105" t="s">
        <v>485</v>
      </c>
      <c r="D13" s="154">
        <v>91.66</v>
      </c>
      <c r="E13" s="119">
        <v>15</v>
      </c>
      <c r="F13" s="232">
        <f t="shared" si="0"/>
        <v>1374.8999999999999</v>
      </c>
      <c r="G13" s="107">
        <f t="shared" si="1"/>
        <v>458.29999999999995</v>
      </c>
      <c r="H13" s="223">
        <v>125.42</v>
      </c>
      <c r="I13" s="223">
        <f t="shared" si="2"/>
        <v>1958.62</v>
      </c>
      <c r="J13" s="223"/>
      <c r="K13" s="106"/>
      <c r="L13" s="106"/>
      <c r="M13" s="106"/>
      <c r="N13" s="106"/>
      <c r="O13" s="223">
        <f t="shared" si="3"/>
        <v>0</v>
      </c>
      <c r="P13" s="224">
        <f t="shared" si="4"/>
        <v>1958.62</v>
      </c>
      <c r="Q13" s="104"/>
      <c r="R13" s="80"/>
    </row>
    <row r="14" spans="1:18" ht="99.2" customHeight="1" x14ac:dyDescent="0.35">
      <c r="A14" s="104" t="s">
        <v>488</v>
      </c>
      <c r="B14" s="104" t="s">
        <v>489</v>
      </c>
      <c r="C14" s="105" t="s">
        <v>490</v>
      </c>
      <c r="D14" s="154">
        <v>214.05</v>
      </c>
      <c r="E14" s="119">
        <v>15</v>
      </c>
      <c r="F14" s="232">
        <f t="shared" si="0"/>
        <v>3210.75</v>
      </c>
      <c r="G14" s="107">
        <f>+D14*4.14</f>
        <v>886.16700000000003</v>
      </c>
      <c r="H14" s="223"/>
      <c r="I14" s="223">
        <f t="shared" si="2"/>
        <v>4096.9170000000004</v>
      </c>
      <c r="J14" s="223">
        <v>102.83</v>
      </c>
      <c r="K14" s="106"/>
      <c r="L14" s="106"/>
      <c r="M14" s="106"/>
      <c r="N14" s="106"/>
      <c r="O14" s="223">
        <f t="shared" si="3"/>
        <v>102.83</v>
      </c>
      <c r="P14" s="224">
        <f t="shared" si="4"/>
        <v>3994.0870000000004</v>
      </c>
      <c r="Q14" s="104"/>
      <c r="R14" s="80"/>
    </row>
    <row r="15" spans="1:18" ht="99.2" customHeight="1" x14ac:dyDescent="0.35">
      <c r="A15" s="104" t="s">
        <v>512</v>
      </c>
      <c r="B15" s="104" t="s">
        <v>575</v>
      </c>
      <c r="C15" s="105" t="s">
        <v>561</v>
      </c>
      <c r="D15" s="156">
        <v>214.66</v>
      </c>
      <c r="E15" s="119">
        <v>15</v>
      </c>
      <c r="F15" s="232">
        <f t="shared" si="0"/>
        <v>3219.9</v>
      </c>
      <c r="G15" s="107">
        <f>+D15*3.75</f>
        <v>804.97500000000002</v>
      </c>
      <c r="H15" s="223"/>
      <c r="I15" s="223">
        <f t="shared" si="2"/>
        <v>4024.875</v>
      </c>
      <c r="J15" s="223">
        <v>103.83</v>
      </c>
      <c r="K15" s="106"/>
      <c r="L15" s="106"/>
      <c r="M15" s="106"/>
      <c r="N15" s="106"/>
      <c r="O15" s="223">
        <f t="shared" si="3"/>
        <v>103.83</v>
      </c>
      <c r="P15" s="224">
        <f t="shared" si="4"/>
        <v>3921.0450000000001</v>
      </c>
      <c r="Q15" s="104"/>
      <c r="R15" s="80"/>
    </row>
    <row r="16" spans="1:18" ht="99.2" customHeight="1" x14ac:dyDescent="0.35">
      <c r="A16" s="104" t="s">
        <v>186</v>
      </c>
      <c r="B16" s="104" t="s">
        <v>520</v>
      </c>
      <c r="C16" s="105" t="s">
        <v>552</v>
      </c>
      <c r="D16" s="156">
        <v>104.5</v>
      </c>
      <c r="E16" s="119">
        <v>15</v>
      </c>
      <c r="F16" s="232">
        <f t="shared" si="0"/>
        <v>1567.5</v>
      </c>
      <c r="G16" s="107"/>
      <c r="H16" s="223">
        <v>113.1</v>
      </c>
      <c r="I16" s="223">
        <f t="shared" si="2"/>
        <v>1680.6</v>
      </c>
      <c r="J16" s="223"/>
      <c r="K16" s="106"/>
      <c r="L16" s="106"/>
      <c r="M16" s="106"/>
      <c r="N16" s="106"/>
      <c r="O16" s="223">
        <f t="shared" si="3"/>
        <v>0</v>
      </c>
      <c r="P16" s="224">
        <f t="shared" si="4"/>
        <v>1680.6</v>
      </c>
      <c r="Q16" s="104"/>
      <c r="R16" s="80"/>
    </row>
    <row r="17" spans="1:18" ht="99.2" customHeight="1" x14ac:dyDescent="0.35">
      <c r="A17" s="104" t="s">
        <v>162</v>
      </c>
      <c r="B17" s="104" t="s">
        <v>493</v>
      </c>
      <c r="C17" s="105" t="s">
        <v>494</v>
      </c>
      <c r="D17" s="156">
        <v>380.58</v>
      </c>
      <c r="E17" s="119">
        <v>15</v>
      </c>
      <c r="F17" s="232">
        <f t="shared" si="0"/>
        <v>5708.7</v>
      </c>
      <c r="G17" s="107"/>
      <c r="H17" s="223"/>
      <c r="I17" s="223">
        <f t="shared" si="2"/>
        <v>5708.7</v>
      </c>
      <c r="J17" s="223">
        <v>588.59</v>
      </c>
      <c r="K17" s="106"/>
      <c r="L17" s="106"/>
      <c r="M17" s="106"/>
      <c r="N17" s="106"/>
      <c r="O17" s="223">
        <f t="shared" si="3"/>
        <v>588.59</v>
      </c>
      <c r="P17" s="224">
        <f t="shared" si="4"/>
        <v>5120.1099999999997</v>
      </c>
      <c r="Q17" s="104"/>
      <c r="R17" s="80"/>
    </row>
    <row r="18" spans="1:18" ht="99.2" customHeight="1" x14ac:dyDescent="0.35">
      <c r="A18" s="104" t="s">
        <v>517</v>
      </c>
      <c r="B18" s="104" t="s">
        <v>545</v>
      </c>
      <c r="C18" s="105" t="s">
        <v>42</v>
      </c>
      <c r="D18" s="156">
        <v>705.14</v>
      </c>
      <c r="E18" s="121">
        <v>15</v>
      </c>
      <c r="F18" s="223">
        <f t="shared" si="0"/>
        <v>10577.1</v>
      </c>
      <c r="G18" s="107">
        <f t="shared" si="1"/>
        <v>3525.7</v>
      </c>
      <c r="H18" s="223"/>
      <c r="I18" s="223">
        <f t="shared" si="2"/>
        <v>14102.8</v>
      </c>
      <c r="J18" s="223">
        <v>1621.09</v>
      </c>
      <c r="K18" s="108"/>
      <c r="L18" s="108"/>
      <c r="M18" s="108"/>
      <c r="N18" s="108">
        <f>F18*4%</f>
        <v>423.084</v>
      </c>
      <c r="O18" s="223">
        <f>J18+K18+M18+N18+L18</f>
        <v>2044.174</v>
      </c>
      <c r="P18" s="223">
        <f t="shared" si="4"/>
        <v>12058.626</v>
      </c>
      <c r="Q18" s="104"/>
      <c r="R18" s="80"/>
    </row>
    <row r="19" spans="1:18" ht="99.2" customHeight="1" x14ac:dyDescent="0.35">
      <c r="A19" s="104" t="s">
        <v>521</v>
      </c>
      <c r="B19" s="104" t="s">
        <v>522</v>
      </c>
      <c r="C19" s="105" t="s">
        <v>523</v>
      </c>
      <c r="D19" s="156">
        <v>194.74</v>
      </c>
      <c r="E19" s="119">
        <v>15</v>
      </c>
      <c r="F19" s="232">
        <f t="shared" si="0"/>
        <v>2921.1000000000004</v>
      </c>
      <c r="G19" s="107">
        <f>+D19*2.92</f>
        <v>568.64080000000001</v>
      </c>
      <c r="H19" s="223"/>
      <c r="I19" s="223">
        <f>F19+H19+G19</f>
        <v>3489.7408000000005</v>
      </c>
      <c r="J19" s="223">
        <v>51.06</v>
      </c>
      <c r="K19" s="106"/>
      <c r="L19" s="106"/>
      <c r="M19" s="106"/>
      <c r="N19" s="106"/>
      <c r="O19" s="223">
        <f t="shared" si="3"/>
        <v>51.06</v>
      </c>
      <c r="P19" s="224">
        <f t="shared" si="4"/>
        <v>3438.6808000000005</v>
      </c>
      <c r="Q19" s="104"/>
      <c r="R19" s="80"/>
    </row>
    <row r="20" spans="1:18" ht="99.2" customHeight="1" x14ac:dyDescent="0.35">
      <c r="A20" s="362" t="s">
        <v>112</v>
      </c>
      <c r="B20" s="104" t="s">
        <v>588</v>
      </c>
      <c r="C20" s="104" t="s">
        <v>382</v>
      </c>
      <c r="D20" s="104">
        <v>273.95</v>
      </c>
      <c r="E20" s="121">
        <v>15</v>
      </c>
      <c r="F20" s="161">
        <f t="shared" si="0"/>
        <v>4109.25</v>
      </c>
      <c r="G20" s="107">
        <f t="shared" si="1"/>
        <v>1369.75</v>
      </c>
      <c r="H20" s="237"/>
      <c r="I20" s="237">
        <f t="shared" ref="I20:I28" si="5">F20+H20+G20</f>
        <v>5479</v>
      </c>
      <c r="J20" s="237">
        <v>325.68</v>
      </c>
      <c r="K20" s="237">
        <f>F20*1.1875%</f>
        <v>48.797343750000003</v>
      </c>
      <c r="L20" s="238"/>
      <c r="M20" s="237"/>
      <c r="N20" s="237"/>
      <c r="O20" s="237">
        <f t="shared" ref="O20:O28" si="6">J20+K20+M20+N20+L20</f>
        <v>374.47734374999999</v>
      </c>
      <c r="P20" s="238">
        <f t="shared" si="4"/>
        <v>5104.5226562500002</v>
      </c>
      <c r="Q20" s="23"/>
      <c r="R20" s="80"/>
    </row>
    <row r="21" spans="1:18" ht="99.2" customHeight="1" x14ac:dyDescent="0.35">
      <c r="A21" s="362"/>
      <c r="B21" s="104" t="s">
        <v>588</v>
      </c>
      <c r="C21" s="104" t="s">
        <v>274</v>
      </c>
      <c r="D21" s="104">
        <v>214.05</v>
      </c>
      <c r="E21" s="121">
        <v>15</v>
      </c>
      <c r="F21" s="161">
        <f t="shared" si="0"/>
        <v>3210.75</v>
      </c>
      <c r="G21" s="107">
        <f t="shared" si="1"/>
        <v>1070.25</v>
      </c>
      <c r="H21" s="237"/>
      <c r="I21" s="237">
        <f t="shared" si="5"/>
        <v>4281</v>
      </c>
      <c r="J21" s="237">
        <v>102.83</v>
      </c>
      <c r="K21" s="237">
        <f t="shared" ref="K21" si="7">F21*1.1875%</f>
        <v>38.127656250000001</v>
      </c>
      <c r="L21" s="238"/>
      <c r="M21" s="237"/>
      <c r="N21" s="237"/>
      <c r="O21" s="237">
        <f t="shared" si="6"/>
        <v>140.95765625000001</v>
      </c>
      <c r="P21" s="238">
        <f t="shared" si="4"/>
        <v>4140.0423437500003</v>
      </c>
      <c r="Q21" s="104"/>
      <c r="R21" s="80"/>
    </row>
    <row r="22" spans="1:18" ht="99.2" customHeight="1" x14ac:dyDescent="0.35">
      <c r="A22" s="362" t="s">
        <v>112</v>
      </c>
      <c r="B22" s="104" t="s">
        <v>588</v>
      </c>
      <c r="C22" s="104" t="s">
        <v>277</v>
      </c>
      <c r="D22" s="104">
        <v>214.05</v>
      </c>
      <c r="E22" s="121">
        <v>15</v>
      </c>
      <c r="F22" s="161">
        <f t="shared" si="0"/>
        <v>3210.75</v>
      </c>
      <c r="G22" s="107">
        <f t="shared" si="1"/>
        <v>1070.25</v>
      </c>
      <c r="H22" s="237"/>
      <c r="I22" s="237">
        <f t="shared" si="5"/>
        <v>4281</v>
      </c>
      <c r="J22" s="237">
        <v>102.83</v>
      </c>
      <c r="K22" s="237">
        <f>F22*1.1875%</f>
        <v>38.127656250000001</v>
      </c>
      <c r="L22" s="238"/>
      <c r="M22" s="237"/>
      <c r="N22" s="237"/>
      <c r="O22" s="237">
        <f t="shared" si="6"/>
        <v>140.95765625000001</v>
      </c>
      <c r="P22" s="238">
        <f t="shared" si="4"/>
        <v>4140.0423437500003</v>
      </c>
      <c r="Q22" s="104"/>
      <c r="R22" s="80"/>
    </row>
    <row r="23" spans="1:18" ht="99.2" customHeight="1" x14ac:dyDescent="0.35">
      <c r="A23" s="362"/>
      <c r="B23" s="104" t="s">
        <v>589</v>
      </c>
      <c r="C23" s="104" t="s">
        <v>273</v>
      </c>
      <c r="D23" s="104">
        <v>285.86</v>
      </c>
      <c r="E23" s="121">
        <v>15</v>
      </c>
      <c r="F23" s="161">
        <f>D23*E23</f>
        <v>4287.9000000000005</v>
      </c>
      <c r="G23" s="107">
        <f t="shared" si="1"/>
        <v>1429.3000000000002</v>
      </c>
      <c r="H23" s="237"/>
      <c r="I23" s="237">
        <f>F23+H23+G23</f>
        <v>5717.2000000000007</v>
      </c>
      <c r="J23" s="237">
        <v>346.65</v>
      </c>
      <c r="K23" s="237">
        <f>F23*1.1875%</f>
        <v>50.918812500000008</v>
      </c>
      <c r="L23" s="238"/>
      <c r="M23" s="237"/>
      <c r="N23" s="237"/>
      <c r="O23" s="237">
        <f>J23+K23+M23+N23+L23</f>
        <v>397.56881249999998</v>
      </c>
      <c r="P23" s="238">
        <f>I23-O23</f>
        <v>5319.631187500001</v>
      </c>
      <c r="Q23" s="104"/>
      <c r="R23" s="80"/>
    </row>
    <row r="24" spans="1:18" ht="99.2" customHeight="1" x14ac:dyDescent="0.35">
      <c r="A24" s="362"/>
      <c r="B24" s="104" t="s">
        <v>589</v>
      </c>
      <c r="C24" s="105" t="s">
        <v>491</v>
      </c>
      <c r="D24" s="154">
        <v>228.43</v>
      </c>
      <c r="E24" s="119">
        <v>15</v>
      </c>
      <c r="F24" s="232">
        <f>D24*E24</f>
        <v>3426.4500000000003</v>
      </c>
      <c r="G24" s="107">
        <f t="shared" si="1"/>
        <v>1142.1500000000001</v>
      </c>
      <c r="H24" s="223"/>
      <c r="I24" s="223">
        <f>F24+H24+G24</f>
        <v>4568.6000000000004</v>
      </c>
      <c r="J24" s="223">
        <v>126.3</v>
      </c>
      <c r="K24" s="106">
        <f>F24*1.1875%</f>
        <v>40.689093750000005</v>
      </c>
      <c r="L24" s="106"/>
      <c r="M24" s="106"/>
      <c r="N24" s="106"/>
      <c r="O24" s="223">
        <f>J24+K24+L24+N24+M24</f>
        <v>166.98909374999999</v>
      </c>
      <c r="P24" s="223">
        <f>I24-O24</f>
        <v>4401.61090625</v>
      </c>
      <c r="Q24" s="104"/>
      <c r="R24" s="80"/>
    </row>
    <row r="25" spans="1:18" ht="99.2" customHeight="1" x14ac:dyDescent="0.35">
      <c r="A25" s="362"/>
      <c r="B25" s="104" t="s">
        <v>589</v>
      </c>
      <c r="C25" s="104" t="s">
        <v>275</v>
      </c>
      <c r="D25" s="104">
        <v>214.05</v>
      </c>
      <c r="E25" s="121">
        <v>15</v>
      </c>
      <c r="F25" s="161">
        <f t="shared" si="0"/>
        <v>3210.75</v>
      </c>
      <c r="G25" s="107">
        <f t="shared" si="1"/>
        <v>1070.25</v>
      </c>
      <c r="H25" s="237"/>
      <c r="I25" s="237">
        <f t="shared" si="5"/>
        <v>4281</v>
      </c>
      <c r="J25" s="237">
        <v>102.83</v>
      </c>
      <c r="K25" s="237">
        <f>F22*1.1875%</f>
        <v>38.127656250000001</v>
      </c>
      <c r="L25" s="238"/>
      <c r="M25" s="237"/>
      <c r="N25" s="237"/>
      <c r="O25" s="237">
        <f t="shared" si="6"/>
        <v>140.95765625000001</v>
      </c>
      <c r="P25" s="238">
        <f t="shared" si="4"/>
        <v>4140.0423437500003</v>
      </c>
      <c r="Q25" s="104"/>
      <c r="R25" s="80"/>
    </row>
    <row r="26" spans="1:18" ht="99.2" customHeight="1" x14ac:dyDescent="0.35">
      <c r="A26" s="362"/>
      <c r="B26" s="104" t="s">
        <v>589</v>
      </c>
      <c r="C26" s="104" t="s">
        <v>276</v>
      </c>
      <c r="D26" s="104">
        <v>214.05</v>
      </c>
      <c r="E26" s="121">
        <v>15</v>
      </c>
      <c r="F26" s="161">
        <f t="shared" si="0"/>
        <v>3210.75</v>
      </c>
      <c r="G26" s="107">
        <f t="shared" si="1"/>
        <v>1070.25</v>
      </c>
      <c r="H26" s="237"/>
      <c r="I26" s="237">
        <f t="shared" si="5"/>
        <v>4281</v>
      </c>
      <c r="J26" s="237">
        <v>102.83</v>
      </c>
      <c r="K26" s="237">
        <f>F25*1.1875%</f>
        <v>38.127656250000001</v>
      </c>
      <c r="L26" s="238"/>
      <c r="M26" s="237"/>
      <c r="N26" s="237"/>
      <c r="O26" s="237">
        <f t="shared" si="6"/>
        <v>140.95765625000001</v>
      </c>
      <c r="P26" s="238">
        <f t="shared" si="4"/>
        <v>4140.0423437500003</v>
      </c>
      <c r="Q26" s="104"/>
      <c r="R26" s="80"/>
    </row>
    <row r="27" spans="1:18" ht="99.2" customHeight="1" x14ac:dyDescent="0.35">
      <c r="A27" s="362"/>
      <c r="B27" s="104" t="s">
        <v>589</v>
      </c>
      <c r="C27" s="104" t="s">
        <v>278</v>
      </c>
      <c r="D27" s="104">
        <v>214.05</v>
      </c>
      <c r="E27" s="121">
        <v>15</v>
      </c>
      <c r="F27" s="161">
        <f t="shared" si="0"/>
        <v>3210.75</v>
      </c>
      <c r="G27" s="107">
        <f t="shared" si="1"/>
        <v>1070.25</v>
      </c>
      <c r="H27" s="237"/>
      <c r="I27" s="237">
        <f t="shared" si="5"/>
        <v>4281</v>
      </c>
      <c r="J27" s="237">
        <v>102.83</v>
      </c>
      <c r="K27" s="237">
        <f>F27*1.1875%</f>
        <v>38.127656250000001</v>
      </c>
      <c r="L27" s="238"/>
      <c r="M27" s="237"/>
      <c r="N27" s="237"/>
      <c r="O27" s="237">
        <f t="shared" si="6"/>
        <v>140.95765625000001</v>
      </c>
      <c r="P27" s="238">
        <f t="shared" si="4"/>
        <v>4140.0423437500003</v>
      </c>
      <c r="Q27" s="104"/>
      <c r="R27" s="80"/>
    </row>
    <row r="28" spans="1:18" ht="99.2" customHeight="1" x14ac:dyDescent="0.35">
      <c r="A28" s="362"/>
      <c r="B28" s="104" t="s">
        <v>589</v>
      </c>
      <c r="C28" s="104" t="s">
        <v>279</v>
      </c>
      <c r="D28" s="104">
        <v>214.05</v>
      </c>
      <c r="E28" s="121">
        <v>15</v>
      </c>
      <c r="F28" s="161">
        <f t="shared" si="0"/>
        <v>3210.75</v>
      </c>
      <c r="G28" s="107">
        <f t="shared" si="1"/>
        <v>1070.25</v>
      </c>
      <c r="H28" s="237"/>
      <c r="I28" s="237">
        <f t="shared" si="5"/>
        <v>4281</v>
      </c>
      <c r="J28" s="237">
        <v>102.83</v>
      </c>
      <c r="K28" s="237">
        <f>F28*1.1875%</f>
        <v>38.127656250000001</v>
      </c>
      <c r="L28" s="238"/>
      <c r="M28" s="237"/>
      <c r="N28" s="237"/>
      <c r="O28" s="237">
        <f t="shared" si="6"/>
        <v>140.95765625000001</v>
      </c>
      <c r="P28" s="238">
        <f t="shared" si="4"/>
        <v>4140.0423437500003</v>
      </c>
      <c r="Q28" s="104"/>
      <c r="R28" s="80"/>
    </row>
    <row r="29" spans="1:18" ht="99.2" customHeight="1" x14ac:dyDescent="0.35">
      <c r="A29" s="362"/>
      <c r="B29" s="104" t="s">
        <v>118</v>
      </c>
      <c r="C29" s="105" t="s">
        <v>529</v>
      </c>
      <c r="D29" s="156">
        <v>238.69</v>
      </c>
      <c r="E29" s="119">
        <v>15</v>
      </c>
      <c r="F29" s="232">
        <f>D29*E29</f>
        <v>3580.35</v>
      </c>
      <c r="G29" s="107">
        <f>+D29*2.92</f>
        <v>696.97479999999996</v>
      </c>
      <c r="H29" s="226"/>
      <c r="I29" s="226">
        <f>F29+H29+G29</f>
        <v>4277.3248000000003</v>
      </c>
      <c r="J29" s="226">
        <v>160.74</v>
      </c>
      <c r="K29" s="110"/>
      <c r="L29" s="110"/>
      <c r="M29" s="110"/>
      <c r="N29" s="110"/>
      <c r="O29" s="223">
        <f>J29+K29+L29+N29+M29</f>
        <v>160.74</v>
      </c>
      <c r="P29" s="224">
        <f>I29-O29</f>
        <v>4116.5848000000005</v>
      </c>
      <c r="Q29" s="111"/>
      <c r="R29" s="80"/>
    </row>
    <row r="30" spans="1:18" ht="99.2" customHeight="1" x14ac:dyDescent="0.35">
      <c r="A30" s="362"/>
      <c r="B30" s="104" t="s">
        <v>518</v>
      </c>
      <c r="C30" s="105" t="s">
        <v>519</v>
      </c>
      <c r="D30" s="156">
        <v>187.29</v>
      </c>
      <c r="E30" s="119">
        <v>15</v>
      </c>
      <c r="F30" s="232">
        <f>D30*E30</f>
        <v>2809.35</v>
      </c>
      <c r="G30" s="107">
        <f>+D30*2.92</f>
        <v>546.88679999999999</v>
      </c>
      <c r="H30" s="223"/>
      <c r="I30" s="223">
        <f>F30+H30+G30</f>
        <v>3356.2367999999997</v>
      </c>
      <c r="J30" s="223">
        <v>38.909999999999997</v>
      </c>
      <c r="K30" s="106"/>
      <c r="L30" s="106"/>
      <c r="M30" s="106"/>
      <c r="N30" s="106"/>
      <c r="O30" s="223">
        <f>J30+K30+L30+N30+M30</f>
        <v>38.909999999999997</v>
      </c>
      <c r="P30" s="224">
        <f>I30-O30</f>
        <v>3317.3267999999998</v>
      </c>
      <c r="Q30" s="104"/>
      <c r="R30" s="80"/>
    </row>
    <row r="31" spans="1:18" ht="99.2" customHeight="1" x14ac:dyDescent="0.35">
      <c r="A31" s="362"/>
      <c r="B31" s="104" t="s">
        <v>567</v>
      </c>
      <c r="C31" s="105" t="s">
        <v>568</v>
      </c>
      <c r="D31" s="156">
        <v>166</v>
      </c>
      <c r="E31" s="119">
        <v>15</v>
      </c>
      <c r="F31" s="232">
        <f>D31*E31</f>
        <v>2490</v>
      </c>
      <c r="G31" s="107">
        <f>+D31*1.45</f>
        <v>240.7</v>
      </c>
      <c r="H31" s="226">
        <v>10.84</v>
      </c>
      <c r="I31" s="226">
        <f>F31+H31+G31</f>
        <v>2741.54</v>
      </c>
      <c r="J31" s="226"/>
      <c r="K31" s="110"/>
      <c r="L31" s="110"/>
      <c r="M31" s="110"/>
      <c r="N31" s="110"/>
      <c r="O31" s="226">
        <f>J31+K31+L31+N31+M31</f>
        <v>0</v>
      </c>
      <c r="P31" s="225">
        <f>I31-O31</f>
        <v>2741.54</v>
      </c>
      <c r="Q31" s="111"/>
      <c r="R31" s="80"/>
    </row>
    <row r="32" spans="1:18" ht="99.2" customHeight="1" x14ac:dyDescent="0.35">
      <c r="A32" s="104" t="s">
        <v>74</v>
      </c>
      <c r="B32" s="104" t="s">
        <v>530</v>
      </c>
      <c r="C32" s="105" t="s">
        <v>531</v>
      </c>
      <c r="D32" s="156">
        <v>193.25</v>
      </c>
      <c r="E32" s="119">
        <v>15</v>
      </c>
      <c r="F32" s="232">
        <f t="shared" ref="F32:F39" si="8">D32*E32</f>
        <v>2898.75</v>
      </c>
      <c r="G32" s="107"/>
      <c r="H32" s="226"/>
      <c r="I32" s="226">
        <f t="shared" ref="I32:I39" si="9">F32+H32+G32</f>
        <v>2898.75</v>
      </c>
      <c r="J32" s="226">
        <v>48.63</v>
      </c>
      <c r="K32" s="110"/>
      <c r="L32" s="110"/>
      <c r="M32" s="110"/>
      <c r="N32" s="110"/>
      <c r="O32" s="223">
        <f t="shared" si="3"/>
        <v>48.63</v>
      </c>
      <c r="P32" s="224">
        <f t="shared" si="4"/>
        <v>2850.12</v>
      </c>
      <c r="Q32" s="111"/>
      <c r="R32" s="80"/>
    </row>
    <row r="33" spans="1:18" ht="99.2" customHeight="1" x14ac:dyDescent="0.35">
      <c r="A33" s="104" t="s">
        <v>74</v>
      </c>
      <c r="B33" s="104" t="s">
        <v>82</v>
      </c>
      <c r="C33" s="105" t="s">
        <v>532</v>
      </c>
      <c r="D33" s="156">
        <v>193.25</v>
      </c>
      <c r="E33" s="119">
        <v>15</v>
      </c>
      <c r="F33" s="232">
        <f t="shared" si="8"/>
        <v>2898.75</v>
      </c>
      <c r="G33" s="107"/>
      <c r="H33" s="226"/>
      <c r="I33" s="226">
        <f t="shared" si="9"/>
        <v>2898.75</v>
      </c>
      <c r="J33" s="226">
        <v>48.63</v>
      </c>
      <c r="K33" s="110"/>
      <c r="L33" s="110"/>
      <c r="M33" s="110"/>
      <c r="N33" s="110"/>
      <c r="O33" s="223">
        <f t="shared" si="3"/>
        <v>48.63</v>
      </c>
      <c r="P33" s="224">
        <f t="shared" si="4"/>
        <v>2850.12</v>
      </c>
      <c r="Q33" s="111"/>
      <c r="R33" s="80"/>
    </row>
    <row r="34" spans="1:18" ht="99.2" customHeight="1" x14ac:dyDescent="0.35">
      <c r="A34" s="104" t="s">
        <v>407</v>
      </c>
      <c r="B34" s="104" t="s">
        <v>533</v>
      </c>
      <c r="C34" s="105" t="s">
        <v>534</v>
      </c>
      <c r="D34" s="156">
        <v>211.27</v>
      </c>
      <c r="E34" s="119">
        <v>15</v>
      </c>
      <c r="F34" s="232">
        <f>D34*E34</f>
        <v>3169.05</v>
      </c>
      <c r="G34" s="107">
        <f>+D34*2.71</f>
        <v>572.54169999999999</v>
      </c>
      <c r="H34" s="226"/>
      <c r="I34" s="226">
        <f>F34+H34+G34</f>
        <v>3741.5916999999999</v>
      </c>
      <c r="J34" s="226">
        <v>98.29</v>
      </c>
      <c r="K34" s="110"/>
      <c r="L34" s="110"/>
      <c r="M34" s="110"/>
      <c r="N34" s="110"/>
      <c r="O34" s="223">
        <f t="shared" si="3"/>
        <v>98.29</v>
      </c>
      <c r="P34" s="223">
        <f t="shared" si="4"/>
        <v>3643.3017</v>
      </c>
      <c r="Q34" s="111"/>
      <c r="R34" s="80"/>
    </row>
    <row r="35" spans="1:18" ht="99.2" customHeight="1" x14ac:dyDescent="0.35">
      <c r="A35" s="104" t="s">
        <v>186</v>
      </c>
      <c r="B35" s="104" t="s">
        <v>449</v>
      </c>
      <c r="C35" s="105" t="s">
        <v>535</v>
      </c>
      <c r="D35" s="156">
        <v>128.11000000000001</v>
      </c>
      <c r="E35" s="119">
        <v>15</v>
      </c>
      <c r="F35" s="232">
        <f>D35*E35</f>
        <v>1921.65</v>
      </c>
      <c r="G35" s="107"/>
      <c r="H35" s="226">
        <v>78.430000000000007</v>
      </c>
      <c r="I35" s="226">
        <f>F35+H35+G35</f>
        <v>2000.0800000000002</v>
      </c>
      <c r="J35" s="226"/>
      <c r="K35" s="110"/>
      <c r="L35" s="110"/>
      <c r="M35" s="110"/>
      <c r="N35" s="110"/>
      <c r="O35" s="223">
        <f t="shared" si="3"/>
        <v>0</v>
      </c>
      <c r="P35" s="224">
        <f t="shared" si="4"/>
        <v>2000.0800000000002</v>
      </c>
      <c r="Q35" s="111"/>
      <c r="R35" s="80"/>
    </row>
    <row r="36" spans="1:18" ht="99.2" customHeight="1" x14ac:dyDescent="0.35">
      <c r="A36" s="104" t="s">
        <v>186</v>
      </c>
      <c r="B36" s="104" t="s">
        <v>449</v>
      </c>
      <c r="C36" s="105" t="s">
        <v>536</v>
      </c>
      <c r="D36" s="156">
        <v>128.11000000000001</v>
      </c>
      <c r="E36" s="119">
        <v>15</v>
      </c>
      <c r="F36" s="232">
        <f>D36*E36</f>
        <v>1921.65</v>
      </c>
      <c r="G36" s="107"/>
      <c r="H36" s="226">
        <v>78.430000000000007</v>
      </c>
      <c r="I36" s="226">
        <f>F36+H36+G36</f>
        <v>2000.0800000000002</v>
      </c>
      <c r="J36" s="226"/>
      <c r="K36" s="110"/>
      <c r="L36" s="110"/>
      <c r="M36" s="110"/>
      <c r="N36" s="110"/>
      <c r="O36" s="223">
        <f t="shared" si="3"/>
        <v>0</v>
      </c>
      <c r="P36" s="224">
        <f t="shared" si="4"/>
        <v>2000.0800000000002</v>
      </c>
      <c r="Q36" s="111"/>
      <c r="R36" s="80"/>
    </row>
    <row r="37" spans="1:18" ht="99.2" customHeight="1" x14ac:dyDescent="0.35">
      <c r="A37" s="104" t="s">
        <v>524</v>
      </c>
      <c r="B37" s="104" t="s">
        <v>456</v>
      </c>
      <c r="C37" s="105" t="s">
        <v>525</v>
      </c>
      <c r="D37" s="156">
        <v>223.04</v>
      </c>
      <c r="E37" s="119">
        <v>15</v>
      </c>
      <c r="F37" s="232">
        <f t="shared" si="8"/>
        <v>3345.6</v>
      </c>
      <c r="G37" s="107">
        <f>+D37*2.92</f>
        <v>651.27679999999998</v>
      </c>
      <c r="H37" s="226"/>
      <c r="I37" s="226">
        <f t="shared" si="9"/>
        <v>3996.8768</v>
      </c>
      <c r="J37" s="226">
        <v>117.5</v>
      </c>
      <c r="K37" s="110"/>
      <c r="L37" s="110"/>
      <c r="M37" s="110"/>
      <c r="N37" s="110"/>
      <c r="O37" s="223">
        <f t="shared" si="3"/>
        <v>117.5</v>
      </c>
      <c r="P37" s="224">
        <f t="shared" si="4"/>
        <v>3879.3768</v>
      </c>
      <c r="Q37" s="111"/>
      <c r="R37" s="80"/>
    </row>
    <row r="38" spans="1:18" ht="99.2" customHeight="1" x14ac:dyDescent="0.35">
      <c r="A38" s="104" t="s">
        <v>524</v>
      </c>
      <c r="B38" s="104" t="s">
        <v>489</v>
      </c>
      <c r="C38" s="105" t="s">
        <v>526</v>
      </c>
      <c r="D38" s="156">
        <v>206</v>
      </c>
      <c r="E38" s="119">
        <v>15</v>
      </c>
      <c r="F38" s="232">
        <f t="shared" si="8"/>
        <v>3090</v>
      </c>
      <c r="G38" s="107">
        <f>+D38*2.92</f>
        <v>601.52</v>
      </c>
      <c r="H38" s="226"/>
      <c r="I38" s="226">
        <f t="shared" si="9"/>
        <v>3691.52</v>
      </c>
      <c r="J38" s="226">
        <v>89.69</v>
      </c>
      <c r="K38" s="110"/>
      <c r="L38" s="110"/>
      <c r="M38" s="110"/>
      <c r="N38" s="110"/>
      <c r="O38" s="223">
        <f t="shared" si="3"/>
        <v>89.69</v>
      </c>
      <c r="P38" s="224">
        <f t="shared" si="4"/>
        <v>3601.83</v>
      </c>
      <c r="Q38" s="111"/>
      <c r="R38" s="80"/>
    </row>
    <row r="39" spans="1:18" ht="99.2" customHeight="1" x14ac:dyDescent="0.35">
      <c r="A39" s="104" t="s">
        <v>524</v>
      </c>
      <c r="B39" s="104" t="s">
        <v>489</v>
      </c>
      <c r="C39" s="105" t="s">
        <v>527</v>
      </c>
      <c r="D39" s="156">
        <v>206</v>
      </c>
      <c r="E39" s="119">
        <v>15</v>
      </c>
      <c r="F39" s="232">
        <f t="shared" si="8"/>
        <v>3090</v>
      </c>
      <c r="G39" s="107">
        <f>+D39*2.92</f>
        <v>601.52</v>
      </c>
      <c r="H39" s="226"/>
      <c r="I39" s="226">
        <f t="shared" si="9"/>
        <v>3691.52</v>
      </c>
      <c r="J39" s="226">
        <v>89.69</v>
      </c>
      <c r="K39" s="110"/>
      <c r="L39" s="110"/>
      <c r="M39" s="110"/>
      <c r="N39" s="110"/>
      <c r="O39" s="223">
        <f t="shared" si="3"/>
        <v>89.69</v>
      </c>
      <c r="P39" s="224">
        <f t="shared" si="4"/>
        <v>3601.83</v>
      </c>
      <c r="Q39" s="111"/>
      <c r="R39" s="80"/>
    </row>
    <row r="40" spans="1:18" ht="99.2" customHeight="1" x14ac:dyDescent="0.35">
      <c r="A40" s="104" t="s">
        <v>524</v>
      </c>
      <c r="B40" s="104" t="s">
        <v>489</v>
      </c>
      <c r="C40" s="105" t="s">
        <v>528</v>
      </c>
      <c r="D40" s="156">
        <v>206</v>
      </c>
      <c r="E40" s="119">
        <v>15</v>
      </c>
      <c r="F40" s="232">
        <f t="shared" ref="F40:F43" si="10">D40*E40</f>
        <v>3090</v>
      </c>
      <c r="G40" s="107">
        <f>+D40*2.92</f>
        <v>601.52</v>
      </c>
      <c r="H40" s="226"/>
      <c r="I40" s="226">
        <f>F40+H40+G40</f>
        <v>3691.52</v>
      </c>
      <c r="J40" s="226">
        <v>89.69</v>
      </c>
      <c r="K40" s="110"/>
      <c r="L40" s="110"/>
      <c r="M40" s="110"/>
      <c r="N40" s="110"/>
      <c r="O40" s="223">
        <f t="shared" si="3"/>
        <v>89.69</v>
      </c>
      <c r="P40" s="224">
        <f t="shared" si="4"/>
        <v>3601.83</v>
      </c>
      <c r="Q40" s="111"/>
      <c r="R40" s="80"/>
    </row>
    <row r="41" spans="1:18" ht="99.2" customHeight="1" x14ac:dyDescent="0.35">
      <c r="A41" s="104" t="s">
        <v>524</v>
      </c>
      <c r="B41" s="104" t="s">
        <v>489</v>
      </c>
      <c r="C41" s="105" t="s">
        <v>538</v>
      </c>
      <c r="D41" s="156">
        <v>206</v>
      </c>
      <c r="E41" s="119">
        <v>15</v>
      </c>
      <c r="F41" s="232">
        <f t="shared" si="10"/>
        <v>3090</v>
      </c>
      <c r="G41" s="107">
        <f>+D41*2.71</f>
        <v>558.26</v>
      </c>
      <c r="H41" s="226"/>
      <c r="I41" s="226">
        <f t="shared" si="2"/>
        <v>3648.26</v>
      </c>
      <c r="J41" s="226">
        <v>89.69</v>
      </c>
      <c r="K41" s="110"/>
      <c r="L41" s="110"/>
      <c r="M41" s="110">
        <v>333.3</v>
      </c>
      <c r="N41" s="110"/>
      <c r="O41" s="223">
        <f t="shared" si="3"/>
        <v>422.99</v>
      </c>
      <c r="P41" s="224">
        <f t="shared" si="4"/>
        <v>3225.2700000000004</v>
      </c>
      <c r="Q41" s="111"/>
      <c r="R41" s="80"/>
    </row>
    <row r="42" spans="1:18" ht="99.2" customHeight="1" x14ac:dyDescent="0.35">
      <c r="A42" s="104" t="s">
        <v>112</v>
      </c>
      <c r="B42" s="104" t="s">
        <v>118</v>
      </c>
      <c r="C42" s="105" t="s">
        <v>540</v>
      </c>
      <c r="D42" s="157">
        <v>238.67</v>
      </c>
      <c r="E42" s="119">
        <v>15</v>
      </c>
      <c r="F42" s="232">
        <f t="shared" si="10"/>
        <v>3580.0499999999997</v>
      </c>
      <c r="G42" s="107">
        <f>+D42*2.71</f>
        <v>646.79570000000001</v>
      </c>
      <c r="H42" s="234"/>
      <c r="I42" s="234">
        <f t="shared" ref="I42:I44" si="11">F42+H42+G42</f>
        <v>4226.8456999999999</v>
      </c>
      <c r="J42" s="234">
        <v>160.71</v>
      </c>
      <c r="K42" s="112"/>
      <c r="L42" s="162"/>
      <c r="M42" s="112"/>
      <c r="N42" s="112"/>
      <c r="O42" s="223">
        <f t="shared" si="3"/>
        <v>160.71</v>
      </c>
      <c r="P42" s="224">
        <f t="shared" si="4"/>
        <v>4066.1356999999998</v>
      </c>
      <c r="Q42" s="111"/>
      <c r="R42" s="80"/>
    </row>
    <row r="43" spans="1:18" ht="99.2" customHeight="1" x14ac:dyDescent="0.35">
      <c r="A43" s="104" t="s">
        <v>541</v>
      </c>
      <c r="B43" s="104" t="s">
        <v>542</v>
      </c>
      <c r="C43" s="105" t="s">
        <v>543</v>
      </c>
      <c r="D43" s="156">
        <v>268</v>
      </c>
      <c r="E43" s="119">
        <v>15</v>
      </c>
      <c r="F43" s="232">
        <f t="shared" si="10"/>
        <v>4020</v>
      </c>
      <c r="G43" s="107">
        <f>+D43*2.32</f>
        <v>621.76</v>
      </c>
      <c r="H43" s="226"/>
      <c r="I43" s="226">
        <f t="shared" si="11"/>
        <v>4641.76</v>
      </c>
      <c r="J43" s="226">
        <v>315.97000000000003</v>
      </c>
      <c r="K43" s="110"/>
      <c r="L43" s="110"/>
      <c r="M43" s="110"/>
      <c r="N43" s="110"/>
      <c r="O43" s="226">
        <f t="shared" si="3"/>
        <v>315.97000000000003</v>
      </c>
      <c r="P43" s="226">
        <f t="shared" si="4"/>
        <v>4325.79</v>
      </c>
      <c r="Q43" s="111"/>
      <c r="R43" s="80"/>
    </row>
    <row r="44" spans="1:18" ht="99.2" customHeight="1" x14ac:dyDescent="0.35">
      <c r="A44" s="104" t="s">
        <v>162</v>
      </c>
      <c r="B44" s="104" t="s">
        <v>547</v>
      </c>
      <c r="C44" s="105" t="s">
        <v>548</v>
      </c>
      <c r="D44" s="154">
        <v>336.93</v>
      </c>
      <c r="E44" s="119">
        <v>15</v>
      </c>
      <c r="F44" s="232">
        <f t="shared" ref="F44:F49" si="12">D44*E44</f>
        <v>5053.95</v>
      </c>
      <c r="G44" s="107">
        <f>+D44*2.32</f>
        <v>781.67759999999998</v>
      </c>
      <c r="H44" s="223"/>
      <c r="I44" s="223">
        <f t="shared" si="11"/>
        <v>5835.6275999999998</v>
      </c>
      <c r="J44" s="223">
        <v>453.27</v>
      </c>
      <c r="K44" s="106"/>
      <c r="L44" s="106"/>
      <c r="M44" s="106"/>
      <c r="N44" s="106"/>
      <c r="O44" s="223">
        <f>J44+K44+L44+N44+M44</f>
        <v>453.27</v>
      </c>
      <c r="P44" s="224">
        <f>I44-O44</f>
        <v>5382.3575999999994</v>
      </c>
      <c r="Q44" s="111"/>
      <c r="R44" s="80"/>
    </row>
    <row r="45" spans="1:18" ht="99.2" customHeight="1" x14ac:dyDescent="0.35">
      <c r="A45" s="104" t="s">
        <v>192</v>
      </c>
      <c r="B45" s="104" t="s">
        <v>530</v>
      </c>
      <c r="C45" s="105" t="s">
        <v>554</v>
      </c>
      <c r="D45" s="156">
        <v>178.85</v>
      </c>
      <c r="E45" s="121">
        <v>14</v>
      </c>
      <c r="F45" s="223">
        <f t="shared" ref="F45" si="13">D45*E45</f>
        <v>2503.9</v>
      </c>
      <c r="G45" s="107">
        <f>+D45*1.88</f>
        <v>336.23799999999994</v>
      </c>
      <c r="H45" s="223"/>
      <c r="I45" s="223">
        <f t="shared" ref="I45" si="14">F45+H45+G45</f>
        <v>2840.1379999999999</v>
      </c>
      <c r="J45" s="223">
        <v>25.13</v>
      </c>
      <c r="K45" s="108"/>
      <c r="L45" s="108"/>
      <c r="M45" s="108"/>
      <c r="N45" s="108"/>
      <c r="O45" s="223">
        <f t="shared" ref="O45:O47" si="15">J45+K45+M45+N45+L45</f>
        <v>25.13</v>
      </c>
      <c r="P45" s="224">
        <f t="shared" ref="P45" si="16">I45-O45</f>
        <v>2815.0079999999998</v>
      </c>
      <c r="Q45" s="111"/>
      <c r="R45" s="80"/>
    </row>
    <row r="46" spans="1:18" ht="99.2" customHeight="1" x14ac:dyDescent="0.35">
      <c r="A46" s="104" t="s">
        <v>162</v>
      </c>
      <c r="B46" s="104" t="s">
        <v>555</v>
      </c>
      <c r="C46" s="105" t="s">
        <v>556</v>
      </c>
      <c r="D46" s="156">
        <v>454.6</v>
      </c>
      <c r="E46" s="121">
        <v>15</v>
      </c>
      <c r="F46" s="223">
        <f t="shared" si="12"/>
        <v>6819</v>
      </c>
      <c r="G46" s="107">
        <f>+D46*1.88</f>
        <v>854.64800000000002</v>
      </c>
      <c r="H46" s="223"/>
      <c r="I46" s="223">
        <f t="shared" ref="I46:I49" si="17">F46+H46+G46</f>
        <v>7673.6480000000001</v>
      </c>
      <c r="J46" s="223">
        <v>818.36</v>
      </c>
      <c r="K46" s="108"/>
      <c r="L46" s="108"/>
      <c r="M46" s="108"/>
      <c r="N46" s="108"/>
      <c r="O46" s="223">
        <f t="shared" si="15"/>
        <v>818.36</v>
      </c>
      <c r="P46" s="224">
        <f t="shared" ref="P46:P49" si="18">I46-O46</f>
        <v>6855.2880000000005</v>
      </c>
      <c r="Q46" s="111"/>
      <c r="R46" s="80"/>
    </row>
    <row r="47" spans="1:18" ht="99.2" customHeight="1" x14ac:dyDescent="0.35">
      <c r="A47" s="104" t="s">
        <v>70</v>
      </c>
      <c r="B47" s="104" t="s">
        <v>557</v>
      </c>
      <c r="C47" s="105" t="s">
        <v>243</v>
      </c>
      <c r="D47" s="156">
        <v>412.2</v>
      </c>
      <c r="E47" s="121">
        <v>15</v>
      </c>
      <c r="F47" s="223">
        <f t="shared" si="12"/>
        <v>6183</v>
      </c>
      <c r="G47" s="107">
        <f t="shared" si="1"/>
        <v>2061</v>
      </c>
      <c r="H47" s="223"/>
      <c r="I47" s="223">
        <f t="shared" si="17"/>
        <v>8244</v>
      </c>
      <c r="J47" s="223">
        <v>682.51</v>
      </c>
      <c r="K47" s="108"/>
      <c r="L47" s="108"/>
      <c r="M47" s="108"/>
      <c r="N47" s="108"/>
      <c r="O47" s="223">
        <f t="shared" si="15"/>
        <v>682.51</v>
      </c>
      <c r="P47" s="223">
        <f t="shared" si="18"/>
        <v>7561.49</v>
      </c>
      <c r="Q47" s="111"/>
      <c r="R47" s="80"/>
    </row>
    <row r="48" spans="1:18" ht="99.2" customHeight="1" x14ac:dyDescent="0.35">
      <c r="A48" s="104" t="s">
        <v>38</v>
      </c>
      <c r="B48" s="104" t="s">
        <v>544</v>
      </c>
      <c r="C48" s="105" t="s">
        <v>560</v>
      </c>
      <c r="D48" s="156">
        <v>206</v>
      </c>
      <c r="E48" s="119">
        <v>15</v>
      </c>
      <c r="F48" s="232">
        <f t="shared" si="12"/>
        <v>3090</v>
      </c>
      <c r="G48" s="107"/>
      <c r="H48" s="226"/>
      <c r="I48" s="226">
        <f t="shared" si="17"/>
        <v>3090</v>
      </c>
      <c r="J48" s="226">
        <v>89.69</v>
      </c>
      <c r="K48" s="110"/>
      <c r="L48" s="110"/>
      <c r="M48" s="110"/>
      <c r="N48" s="110"/>
      <c r="O48" s="223">
        <f t="shared" ref="O48:O49" si="19">J48+K48+L48+N48+M48</f>
        <v>89.69</v>
      </c>
      <c r="P48" s="224">
        <f t="shared" si="18"/>
        <v>3000.31</v>
      </c>
      <c r="Q48" s="111"/>
      <c r="R48" s="80"/>
    </row>
    <row r="49" spans="1:18" ht="99.2" customHeight="1" x14ac:dyDescent="0.35">
      <c r="A49" s="104" t="s">
        <v>236</v>
      </c>
      <c r="B49" s="104" t="s">
        <v>412</v>
      </c>
      <c r="C49" s="105" t="s">
        <v>562</v>
      </c>
      <c r="D49" s="156">
        <v>268.39999999999998</v>
      </c>
      <c r="E49" s="121">
        <v>15</v>
      </c>
      <c r="F49" s="223">
        <f t="shared" si="12"/>
        <v>4025.9999999999995</v>
      </c>
      <c r="G49" s="107"/>
      <c r="H49" s="223"/>
      <c r="I49" s="223">
        <f t="shared" si="17"/>
        <v>4025.9999999999995</v>
      </c>
      <c r="J49" s="223">
        <v>316.63</v>
      </c>
      <c r="K49" s="108"/>
      <c r="L49" s="108"/>
      <c r="M49" s="108"/>
      <c r="N49" s="108"/>
      <c r="O49" s="223">
        <f t="shared" si="19"/>
        <v>316.63</v>
      </c>
      <c r="P49" s="224">
        <f t="shared" si="18"/>
        <v>3709.3699999999994</v>
      </c>
      <c r="Q49" s="111"/>
      <c r="R49" s="80"/>
    </row>
    <row r="50" spans="1:18" ht="99.2" customHeight="1" x14ac:dyDescent="0.35">
      <c r="A50" s="104" t="s">
        <v>192</v>
      </c>
      <c r="B50" s="104" t="s">
        <v>550</v>
      </c>
      <c r="C50" s="105" t="s">
        <v>564</v>
      </c>
      <c r="D50" s="156">
        <v>221</v>
      </c>
      <c r="E50" s="121">
        <v>15</v>
      </c>
      <c r="F50" s="223">
        <f t="shared" ref="F50" si="20">D50*E50</f>
        <v>3315</v>
      </c>
      <c r="G50" s="107"/>
      <c r="H50" s="223"/>
      <c r="I50" s="223">
        <f t="shared" ref="I50" si="21">F50+H50+G50</f>
        <v>3315</v>
      </c>
      <c r="J50" s="223">
        <v>114.17</v>
      </c>
      <c r="K50" s="108"/>
      <c r="L50" s="108"/>
      <c r="M50" s="108"/>
      <c r="N50" s="108"/>
      <c r="O50" s="223">
        <f t="shared" ref="O50" si="22">J50+K50+M50+N50+L50</f>
        <v>114.17</v>
      </c>
      <c r="P50" s="224">
        <f t="shared" ref="P50" si="23">I50-O50</f>
        <v>3200.83</v>
      </c>
      <c r="Q50" s="111"/>
      <c r="R50" s="80"/>
    </row>
    <row r="51" spans="1:18" ht="99.2" customHeight="1" x14ac:dyDescent="0.35">
      <c r="A51" s="104" t="s">
        <v>63</v>
      </c>
      <c r="B51" s="104" t="s">
        <v>565</v>
      </c>
      <c r="C51" s="105" t="s">
        <v>566</v>
      </c>
      <c r="D51" s="156">
        <v>113.06</v>
      </c>
      <c r="E51" s="119">
        <v>15</v>
      </c>
      <c r="F51" s="232">
        <f t="shared" ref="F51:F52" si="24">D51*E51</f>
        <v>1695.9</v>
      </c>
      <c r="G51" s="107">
        <f>+D51*1.45</f>
        <v>163.93700000000001</v>
      </c>
      <c r="H51" s="226">
        <v>104.88</v>
      </c>
      <c r="I51" s="226">
        <f t="shared" ref="I51:I53" si="25">F51+H51+G51</f>
        <v>1964.7170000000001</v>
      </c>
      <c r="J51" s="226"/>
      <c r="K51" s="110"/>
      <c r="L51" s="110"/>
      <c r="M51" s="110"/>
      <c r="N51" s="110"/>
      <c r="O51" s="226">
        <f t="shared" ref="O51" si="26">J51+K51+L51+N51+M51</f>
        <v>0</v>
      </c>
      <c r="P51" s="226">
        <f t="shared" ref="P51:P54" si="27">I51-O51</f>
        <v>1964.7170000000001</v>
      </c>
      <c r="Q51" s="111"/>
      <c r="R51" s="80"/>
    </row>
    <row r="52" spans="1:18" ht="99.2" customHeight="1" x14ac:dyDescent="0.35">
      <c r="A52" s="104" t="s">
        <v>488</v>
      </c>
      <c r="B52" s="104" t="s">
        <v>412</v>
      </c>
      <c r="C52" s="105" t="s">
        <v>569</v>
      </c>
      <c r="D52" s="156">
        <v>214.05</v>
      </c>
      <c r="E52" s="121">
        <v>15</v>
      </c>
      <c r="F52" s="223">
        <f t="shared" si="24"/>
        <v>3210.75</v>
      </c>
      <c r="G52" s="107">
        <f>+D52*1.45</f>
        <v>310.3725</v>
      </c>
      <c r="H52" s="223"/>
      <c r="I52" s="223">
        <f t="shared" si="25"/>
        <v>3521.1224999999999</v>
      </c>
      <c r="J52" s="223">
        <v>102.83</v>
      </c>
      <c r="K52" s="108"/>
      <c r="L52" s="108"/>
      <c r="M52" s="108"/>
      <c r="N52" s="108"/>
      <c r="O52" s="223">
        <f t="shared" ref="O52:O53" si="28">J52+K52+M52+N52+L52</f>
        <v>102.83</v>
      </c>
      <c r="P52" s="224">
        <f t="shared" si="27"/>
        <v>3418.2925</v>
      </c>
      <c r="Q52" s="111"/>
      <c r="R52" s="80"/>
    </row>
    <row r="53" spans="1:18" ht="99.2" customHeight="1" x14ac:dyDescent="0.35">
      <c r="A53" s="104" t="s">
        <v>512</v>
      </c>
      <c r="B53" s="104" t="s">
        <v>575</v>
      </c>
      <c r="C53" s="105" t="s">
        <v>571</v>
      </c>
      <c r="D53" s="156">
        <v>166.98</v>
      </c>
      <c r="E53" s="121">
        <v>15</v>
      </c>
      <c r="F53" s="223">
        <f>D53*E53</f>
        <v>2504.6999999999998</v>
      </c>
      <c r="G53" s="107"/>
      <c r="H53" s="223">
        <v>9.24</v>
      </c>
      <c r="I53" s="223">
        <f t="shared" si="25"/>
        <v>2513.9399999999996</v>
      </c>
      <c r="J53" s="223"/>
      <c r="K53" s="108"/>
      <c r="L53" s="108"/>
      <c r="M53" s="108"/>
      <c r="N53" s="108"/>
      <c r="O53" s="223">
        <f t="shared" si="28"/>
        <v>0</v>
      </c>
      <c r="P53" s="226">
        <f t="shared" si="27"/>
        <v>2513.9399999999996</v>
      </c>
      <c r="Q53" s="111"/>
      <c r="R53" s="80"/>
    </row>
    <row r="54" spans="1:18" ht="99.2" customHeight="1" x14ac:dyDescent="0.35">
      <c r="A54" s="104" t="s">
        <v>206</v>
      </c>
      <c r="B54" s="104" t="s">
        <v>572</v>
      </c>
      <c r="C54" s="105" t="s">
        <v>573</v>
      </c>
      <c r="D54" s="156">
        <v>206</v>
      </c>
      <c r="E54" s="119">
        <v>15</v>
      </c>
      <c r="F54" s="232">
        <f t="shared" ref="F54" si="29">D54*E54</f>
        <v>3090</v>
      </c>
      <c r="G54" s="107"/>
      <c r="H54" s="226"/>
      <c r="I54" s="226">
        <f t="shared" ref="I54" si="30">F54+H54+G54</f>
        <v>3090</v>
      </c>
      <c r="J54" s="226">
        <v>89.69</v>
      </c>
      <c r="K54" s="110">
        <f>F54*1.1875%</f>
        <v>36.693750000000001</v>
      </c>
      <c r="L54" s="110"/>
      <c r="M54" s="110"/>
      <c r="N54" s="110"/>
      <c r="O54" s="223">
        <f t="shared" ref="O54" si="31">J54+K54+L54+N54+M54</f>
        <v>126.38374999999999</v>
      </c>
      <c r="P54" s="224">
        <f t="shared" si="27"/>
        <v>2963.61625</v>
      </c>
      <c r="Q54" s="111"/>
      <c r="R54" s="80"/>
    </row>
    <row r="55" spans="1:18" ht="99.2" customHeight="1" x14ac:dyDescent="0.35">
      <c r="A55" s="104" t="s">
        <v>206</v>
      </c>
      <c r="B55" s="104" t="s">
        <v>572</v>
      </c>
      <c r="C55" s="105" t="s">
        <v>576</v>
      </c>
      <c r="D55" s="156">
        <v>206</v>
      </c>
      <c r="E55" s="119">
        <v>15</v>
      </c>
      <c r="F55" s="232">
        <f t="shared" ref="F55" si="32">D55*E55</f>
        <v>3090</v>
      </c>
      <c r="G55" s="107"/>
      <c r="H55" s="226"/>
      <c r="I55" s="226">
        <f t="shared" ref="I55:I59" si="33">F55+H55+G55</f>
        <v>3090</v>
      </c>
      <c r="J55" s="226">
        <v>89.69</v>
      </c>
      <c r="K55" s="110">
        <f>F55*1.1875%</f>
        <v>36.693750000000001</v>
      </c>
      <c r="L55" s="110"/>
      <c r="M55" s="110"/>
      <c r="N55" s="110"/>
      <c r="O55" s="223">
        <f t="shared" ref="O55:O56" si="34">J55+K55+L55+N55+M55</f>
        <v>126.38374999999999</v>
      </c>
      <c r="P55" s="224">
        <f t="shared" ref="P55:P59" si="35">I55-O55</f>
        <v>2963.61625</v>
      </c>
      <c r="Q55" s="111"/>
      <c r="R55" s="80"/>
    </row>
    <row r="56" spans="1:18" ht="99.2" customHeight="1" x14ac:dyDescent="0.35">
      <c r="A56" s="104" t="s">
        <v>186</v>
      </c>
      <c r="B56" s="104" t="s">
        <v>129</v>
      </c>
      <c r="C56" s="105" t="s">
        <v>574</v>
      </c>
      <c r="D56" s="156">
        <v>152.66</v>
      </c>
      <c r="E56" s="119">
        <v>15</v>
      </c>
      <c r="F56" s="232">
        <f t="shared" ref="F56:F57" si="36">D56*E56</f>
        <v>2289.9</v>
      </c>
      <c r="G56" s="107"/>
      <c r="H56" s="226">
        <v>40.909999999999997</v>
      </c>
      <c r="I56" s="226">
        <f t="shared" si="33"/>
        <v>2330.81</v>
      </c>
      <c r="J56" s="226"/>
      <c r="K56" s="110"/>
      <c r="L56" s="110"/>
      <c r="M56" s="110"/>
      <c r="N56" s="110"/>
      <c r="O56" s="223">
        <f t="shared" si="34"/>
        <v>0</v>
      </c>
      <c r="P56" s="224">
        <f t="shared" si="35"/>
        <v>2330.81</v>
      </c>
      <c r="Q56" s="111"/>
      <c r="R56" s="80"/>
    </row>
    <row r="57" spans="1:18" ht="99.2" customHeight="1" x14ac:dyDescent="0.35">
      <c r="A57" s="104" t="s">
        <v>74</v>
      </c>
      <c r="B57" s="104" t="s">
        <v>530</v>
      </c>
      <c r="C57" s="105" t="s">
        <v>580</v>
      </c>
      <c r="D57" s="156">
        <v>173.96</v>
      </c>
      <c r="E57" s="121">
        <v>15</v>
      </c>
      <c r="F57" s="223">
        <f t="shared" si="36"/>
        <v>2609.4</v>
      </c>
      <c r="G57" s="107"/>
      <c r="H57" s="223"/>
      <c r="I57" s="223">
        <f t="shared" si="33"/>
        <v>2609.4</v>
      </c>
      <c r="J57" s="223">
        <v>2.15</v>
      </c>
      <c r="K57" s="156"/>
      <c r="L57" s="156"/>
      <c r="M57" s="156"/>
      <c r="N57" s="156"/>
      <c r="O57" s="223">
        <f t="shared" ref="O57:O59" si="37">J57+K57+M57+N57+L57</f>
        <v>2.15</v>
      </c>
      <c r="P57" s="227">
        <f t="shared" si="35"/>
        <v>2607.25</v>
      </c>
      <c r="Q57" s="111"/>
      <c r="R57" s="80"/>
    </row>
    <row r="58" spans="1:18" ht="99.2" customHeight="1" x14ac:dyDescent="0.35">
      <c r="A58" s="104" t="s">
        <v>581</v>
      </c>
      <c r="B58" s="104" t="s">
        <v>80</v>
      </c>
      <c r="C58" s="105" t="s">
        <v>582</v>
      </c>
      <c r="D58" s="156">
        <v>207.79</v>
      </c>
      <c r="E58" s="121">
        <v>15</v>
      </c>
      <c r="F58" s="223">
        <f t="shared" ref="F58:F59" si="38">D58*E58</f>
        <v>3116.85</v>
      </c>
      <c r="G58" s="107"/>
      <c r="H58" s="223"/>
      <c r="I58" s="223">
        <f t="shared" si="33"/>
        <v>3116.85</v>
      </c>
      <c r="J58" s="223">
        <v>92.61</v>
      </c>
      <c r="K58" s="156"/>
      <c r="L58" s="156"/>
      <c r="M58" s="156"/>
      <c r="N58" s="156"/>
      <c r="O58" s="223">
        <f t="shared" si="37"/>
        <v>92.61</v>
      </c>
      <c r="P58" s="227">
        <f t="shared" si="35"/>
        <v>3024.24</v>
      </c>
      <c r="Q58" s="111"/>
      <c r="R58" s="80"/>
    </row>
    <row r="59" spans="1:18" ht="99.2" customHeight="1" x14ac:dyDescent="0.35">
      <c r="A59" s="104" t="s">
        <v>192</v>
      </c>
      <c r="B59" s="104" t="s">
        <v>412</v>
      </c>
      <c r="C59" s="105" t="s">
        <v>583</v>
      </c>
      <c r="D59" s="156">
        <v>178.85</v>
      </c>
      <c r="E59" s="121">
        <v>15</v>
      </c>
      <c r="F59" s="223">
        <f t="shared" si="38"/>
        <v>2682.75</v>
      </c>
      <c r="G59" s="107"/>
      <c r="H59" s="223"/>
      <c r="I59" s="223">
        <f t="shared" si="33"/>
        <v>2682.75</v>
      </c>
      <c r="J59" s="223">
        <v>25.13</v>
      </c>
      <c r="K59" s="156"/>
      <c r="L59" s="156"/>
      <c r="M59" s="156"/>
      <c r="N59" s="156"/>
      <c r="O59" s="223">
        <f t="shared" si="37"/>
        <v>25.13</v>
      </c>
      <c r="P59" s="227">
        <f t="shared" si="35"/>
        <v>2657.62</v>
      </c>
      <c r="Q59" s="111"/>
      <c r="R59" s="80"/>
    </row>
    <row r="60" spans="1:18" ht="99.2" customHeight="1" x14ac:dyDescent="0.35">
      <c r="A60" s="104" t="s">
        <v>584</v>
      </c>
      <c r="B60" s="104" t="s">
        <v>129</v>
      </c>
      <c r="C60" s="105" t="s">
        <v>585</v>
      </c>
      <c r="D60" s="156">
        <v>166</v>
      </c>
      <c r="E60" s="119">
        <v>15</v>
      </c>
      <c r="F60" s="232">
        <f t="shared" ref="F60:F62" si="39">D60*E60</f>
        <v>2490</v>
      </c>
      <c r="G60" s="107"/>
      <c r="H60" s="226">
        <v>10.84</v>
      </c>
      <c r="I60" s="226">
        <f t="shared" ref="I60:I67" si="40">F60+H60+G60</f>
        <v>2500.84</v>
      </c>
      <c r="J60" s="226"/>
      <c r="K60" s="110"/>
      <c r="L60" s="110"/>
      <c r="M60" s="110"/>
      <c r="N60" s="110"/>
      <c r="O60" s="226">
        <f t="shared" ref="O60:O89" si="41">J60+K60+L60+N60+M60</f>
        <v>0</v>
      </c>
      <c r="P60" s="225">
        <f t="shared" ref="P60:P67" si="42">I60-O60</f>
        <v>2500.84</v>
      </c>
      <c r="Q60" s="111"/>
      <c r="R60" s="80"/>
    </row>
    <row r="61" spans="1:18" ht="99.2" customHeight="1" x14ac:dyDescent="0.35">
      <c r="A61" s="104" t="s">
        <v>74</v>
      </c>
      <c r="B61" s="104" t="s">
        <v>412</v>
      </c>
      <c r="C61" s="105" t="s">
        <v>586</v>
      </c>
      <c r="D61" s="154">
        <v>277.73</v>
      </c>
      <c r="E61" s="119">
        <v>15</v>
      </c>
      <c r="F61" s="232">
        <f t="shared" si="39"/>
        <v>4165.9500000000007</v>
      </c>
      <c r="G61" s="107"/>
      <c r="H61" s="223"/>
      <c r="I61" s="223">
        <f t="shared" si="40"/>
        <v>4165.9500000000007</v>
      </c>
      <c r="J61" s="223">
        <v>331.86</v>
      </c>
      <c r="K61" s="106"/>
      <c r="L61" s="106"/>
      <c r="M61" s="106"/>
      <c r="N61" s="106"/>
      <c r="O61" s="223">
        <f t="shared" si="41"/>
        <v>331.86</v>
      </c>
      <c r="P61" s="223">
        <f t="shared" si="42"/>
        <v>3834.0900000000006</v>
      </c>
      <c r="Q61" s="111"/>
      <c r="R61" s="80"/>
    </row>
    <row r="62" spans="1:18" ht="99.2" customHeight="1" x14ac:dyDescent="0.35">
      <c r="A62" s="104" t="s">
        <v>521</v>
      </c>
      <c r="B62" s="104" t="s">
        <v>412</v>
      </c>
      <c r="C62" s="105" t="s">
        <v>587</v>
      </c>
      <c r="D62" s="154">
        <v>290.52999999999997</v>
      </c>
      <c r="E62" s="119">
        <v>15</v>
      </c>
      <c r="F62" s="232">
        <f t="shared" si="39"/>
        <v>4357.95</v>
      </c>
      <c r="G62" s="107"/>
      <c r="H62" s="223"/>
      <c r="I62" s="223">
        <f t="shared" si="40"/>
        <v>4357.95</v>
      </c>
      <c r="J62" s="223">
        <v>357.86</v>
      </c>
      <c r="K62" s="106"/>
      <c r="L62" s="106"/>
      <c r="M62" s="106"/>
      <c r="N62" s="106"/>
      <c r="O62" s="226">
        <f t="shared" si="41"/>
        <v>357.86</v>
      </c>
      <c r="P62" s="225">
        <f t="shared" si="42"/>
        <v>4000.0899999999997</v>
      </c>
      <c r="Q62" s="111"/>
      <c r="R62" s="80"/>
    </row>
    <row r="63" spans="1:18" ht="99.2" customHeight="1" x14ac:dyDescent="0.35">
      <c r="A63" s="104" t="s">
        <v>192</v>
      </c>
      <c r="B63" s="104" t="s">
        <v>412</v>
      </c>
      <c r="C63" s="105" t="s">
        <v>591</v>
      </c>
      <c r="D63" s="156">
        <v>178.85</v>
      </c>
      <c r="E63" s="119">
        <v>11</v>
      </c>
      <c r="F63" s="232">
        <f t="shared" ref="F63:F89" si="43">D63*E63</f>
        <v>1967.35</v>
      </c>
      <c r="G63" s="107"/>
      <c r="H63" s="226">
        <v>75.510000000000005</v>
      </c>
      <c r="I63" s="223">
        <f t="shared" si="40"/>
        <v>2042.86</v>
      </c>
      <c r="J63" s="226"/>
      <c r="K63" s="110"/>
      <c r="L63" s="110"/>
      <c r="M63" s="110"/>
      <c r="N63" s="110"/>
      <c r="O63" s="226">
        <f t="shared" si="41"/>
        <v>0</v>
      </c>
      <c r="P63" s="225">
        <f t="shared" si="42"/>
        <v>2042.86</v>
      </c>
      <c r="Q63" s="111"/>
      <c r="R63" s="80"/>
    </row>
    <row r="64" spans="1:18" ht="99.2" customHeight="1" x14ac:dyDescent="0.35">
      <c r="A64" s="104" t="s">
        <v>186</v>
      </c>
      <c r="B64" s="104" t="s">
        <v>412</v>
      </c>
      <c r="C64" s="105" t="s">
        <v>592</v>
      </c>
      <c r="D64" s="156">
        <v>111.06</v>
      </c>
      <c r="E64" s="119">
        <v>15</v>
      </c>
      <c r="F64" s="232">
        <f t="shared" si="43"/>
        <v>1665.9</v>
      </c>
      <c r="G64" s="107"/>
      <c r="H64" s="226">
        <v>106.8</v>
      </c>
      <c r="I64" s="226">
        <f t="shared" ref="I64:I89" si="44">F64+H64+G64</f>
        <v>1772.7</v>
      </c>
      <c r="J64" s="226"/>
      <c r="K64" s="110"/>
      <c r="L64" s="110"/>
      <c r="M64" s="110"/>
      <c r="N64" s="110"/>
      <c r="O64" s="223">
        <f t="shared" si="41"/>
        <v>0</v>
      </c>
      <c r="P64" s="225">
        <f t="shared" ref="P64:P89" si="45">I64-O64</f>
        <v>1772.7</v>
      </c>
      <c r="Q64" s="111"/>
      <c r="R64" s="80"/>
    </row>
    <row r="65" spans="1:18" ht="99.2" customHeight="1" x14ac:dyDescent="0.35">
      <c r="A65" s="104" t="s">
        <v>454</v>
      </c>
      <c r="B65" s="104" t="s">
        <v>412</v>
      </c>
      <c r="C65" s="104" t="s">
        <v>593</v>
      </c>
      <c r="D65" s="156">
        <v>166.93</v>
      </c>
      <c r="E65" s="119">
        <v>15</v>
      </c>
      <c r="F65" s="232">
        <f t="shared" si="43"/>
        <v>2503.9500000000003</v>
      </c>
      <c r="G65" s="107"/>
      <c r="H65" s="226">
        <v>9.32</v>
      </c>
      <c r="I65" s="223">
        <f t="shared" si="40"/>
        <v>2513.2700000000004</v>
      </c>
      <c r="J65" s="226"/>
      <c r="K65" s="110"/>
      <c r="L65" s="110"/>
      <c r="M65" s="110"/>
      <c r="N65" s="110"/>
      <c r="O65" s="226">
        <f t="shared" si="41"/>
        <v>0</v>
      </c>
      <c r="P65" s="225">
        <f t="shared" si="42"/>
        <v>2513.2700000000004</v>
      </c>
      <c r="Q65" s="111"/>
      <c r="R65" s="80"/>
    </row>
    <row r="66" spans="1:18" ht="99.2" customHeight="1" x14ac:dyDescent="0.35">
      <c r="A66" s="104" t="s">
        <v>186</v>
      </c>
      <c r="B66" s="104" t="s">
        <v>412</v>
      </c>
      <c r="C66" s="105" t="s">
        <v>594</v>
      </c>
      <c r="D66" s="154">
        <v>290.52999999999997</v>
      </c>
      <c r="E66" s="119">
        <v>15</v>
      </c>
      <c r="F66" s="232">
        <f t="shared" si="43"/>
        <v>4357.95</v>
      </c>
      <c r="G66" s="107"/>
      <c r="H66" s="223"/>
      <c r="I66" s="223">
        <f t="shared" si="44"/>
        <v>4357.95</v>
      </c>
      <c r="J66" s="223">
        <v>357.86</v>
      </c>
      <c r="K66" s="106"/>
      <c r="L66" s="106"/>
      <c r="M66" s="106"/>
      <c r="N66" s="106"/>
      <c r="O66" s="226">
        <f t="shared" ref="O66" si="46">J66+K66+L66+N66+M66</f>
        <v>357.86</v>
      </c>
      <c r="P66" s="225">
        <f t="shared" si="45"/>
        <v>4000.0899999999997</v>
      </c>
      <c r="Q66" s="111"/>
      <c r="R66" s="80"/>
    </row>
    <row r="67" spans="1:18" ht="99.2" customHeight="1" x14ac:dyDescent="0.35">
      <c r="A67" s="104" t="s">
        <v>44</v>
      </c>
      <c r="B67" s="104" t="s">
        <v>412</v>
      </c>
      <c r="C67" s="105" t="s">
        <v>595</v>
      </c>
      <c r="D67" s="156">
        <v>176.93</v>
      </c>
      <c r="E67" s="119">
        <v>15</v>
      </c>
      <c r="F67" s="232">
        <f t="shared" si="43"/>
        <v>2653.9500000000003</v>
      </c>
      <c r="G67" s="107"/>
      <c r="H67" s="226">
        <v>6.52</v>
      </c>
      <c r="I67" s="223">
        <f t="shared" si="40"/>
        <v>2660.4700000000003</v>
      </c>
      <c r="J67" s="226"/>
      <c r="K67" s="110"/>
      <c r="L67" s="110"/>
      <c r="M67" s="110"/>
      <c r="N67" s="110"/>
      <c r="O67" s="226">
        <f t="shared" si="41"/>
        <v>0</v>
      </c>
      <c r="P67" s="225">
        <f t="shared" si="42"/>
        <v>2660.4700000000003</v>
      </c>
      <c r="Q67" s="111"/>
      <c r="R67" s="80"/>
    </row>
    <row r="68" spans="1:18" ht="99.2" customHeight="1" x14ac:dyDescent="0.35">
      <c r="A68" s="104" t="s">
        <v>596</v>
      </c>
      <c r="B68" s="104" t="s">
        <v>412</v>
      </c>
      <c r="C68" s="105" t="s">
        <v>597</v>
      </c>
      <c r="D68" s="156">
        <v>166</v>
      </c>
      <c r="E68" s="119">
        <v>15</v>
      </c>
      <c r="F68" s="232">
        <f>D68*E68</f>
        <v>2490</v>
      </c>
      <c r="G68" s="107"/>
      <c r="H68" s="226">
        <v>10.84</v>
      </c>
      <c r="I68" s="226">
        <f>F68+H68+G68</f>
        <v>2500.84</v>
      </c>
      <c r="J68" s="226"/>
      <c r="K68" s="110"/>
      <c r="L68" s="110"/>
      <c r="M68" s="110"/>
      <c r="N68" s="110"/>
      <c r="O68" s="226">
        <f>J68+K68+L68+N68+M68</f>
        <v>0</v>
      </c>
      <c r="P68" s="225">
        <f>I68-O68</f>
        <v>2500.84</v>
      </c>
      <c r="Q68" s="111"/>
      <c r="R68" s="80"/>
    </row>
    <row r="69" spans="1:18" ht="99.2" customHeight="1" x14ac:dyDescent="0.35">
      <c r="A69" s="104" t="s">
        <v>521</v>
      </c>
      <c r="B69" s="104" t="s">
        <v>412</v>
      </c>
      <c r="C69" s="105" t="s">
        <v>598</v>
      </c>
      <c r="D69" s="156">
        <v>196.56</v>
      </c>
      <c r="E69" s="119">
        <v>15</v>
      </c>
      <c r="F69" s="232">
        <f t="shared" si="43"/>
        <v>2948.4</v>
      </c>
      <c r="G69" s="107"/>
      <c r="H69" s="226"/>
      <c r="I69" s="226">
        <f t="shared" si="44"/>
        <v>2948.4</v>
      </c>
      <c r="J69" s="226">
        <v>53.99</v>
      </c>
      <c r="K69" s="110"/>
      <c r="L69" s="110"/>
      <c r="M69" s="110"/>
      <c r="N69" s="110"/>
      <c r="O69" s="223">
        <f t="shared" si="41"/>
        <v>53.99</v>
      </c>
      <c r="P69" s="225">
        <f t="shared" si="45"/>
        <v>2894.4100000000003</v>
      </c>
      <c r="Q69" s="111"/>
      <c r="R69" s="80"/>
    </row>
    <row r="70" spans="1:18" ht="99.2" customHeight="1" x14ac:dyDescent="0.35">
      <c r="A70" s="104" t="s">
        <v>74</v>
      </c>
      <c r="B70" s="104" t="s">
        <v>412</v>
      </c>
      <c r="C70" s="105" t="s">
        <v>599</v>
      </c>
      <c r="D70" s="156">
        <v>128.11000000000001</v>
      </c>
      <c r="E70" s="119">
        <v>15</v>
      </c>
      <c r="F70" s="232">
        <f>D70*E70</f>
        <v>1921.65</v>
      </c>
      <c r="G70" s="107"/>
      <c r="H70" s="226">
        <v>78.430000000000007</v>
      </c>
      <c r="I70" s="226">
        <f>F70+H70+G70</f>
        <v>2000.0800000000002</v>
      </c>
      <c r="J70" s="226"/>
      <c r="K70" s="110"/>
      <c r="L70" s="110"/>
      <c r="M70" s="110"/>
      <c r="N70" s="110"/>
      <c r="O70" s="223">
        <f t="shared" si="41"/>
        <v>0</v>
      </c>
      <c r="P70" s="224">
        <f t="shared" si="45"/>
        <v>2000.0800000000002</v>
      </c>
      <c r="Q70" s="111"/>
      <c r="R70" s="80"/>
    </row>
    <row r="71" spans="1:18" ht="99.2" customHeight="1" x14ac:dyDescent="0.35">
      <c r="A71" s="104" t="s">
        <v>74</v>
      </c>
      <c r="B71" s="104" t="s">
        <v>412</v>
      </c>
      <c r="C71" s="105" t="s">
        <v>600</v>
      </c>
      <c r="D71" s="156">
        <v>271.45999999999998</v>
      </c>
      <c r="E71" s="119">
        <v>15</v>
      </c>
      <c r="F71" s="232">
        <f t="shared" si="43"/>
        <v>4071.8999999999996</v>
      </c>
      <c r="G71" s="107"/>
      <c r="H71" s="226"/>
      <c r="I71" s="226">
        <f t="shared" si="44"/>
        <v>4071.8999999999996</v>
      </c>
      <c r="J71" s="226">
        <v>321.63</v>
      </c>
      <c r="K71" s="110"/>
      <c r="L71" s="110"/>
      <c r="M71" s="110"/>
      <c r="N71" s="110"/>
      <c r="O71" s="223">
        <f t="shared" si="41"/>
        <v>321.63</v>
      </c>
      <c r="P71" s="225">
        <f t="shared" si="45"/>
        <v>3750.2699999999995</v>
      </c>
      <c r="Q71" s="111"/>
      <c r="R71" s="80"/>
    </row>
    <row r="72" spans="1:18" ht="99.2" customHeight="1" x14ac:dyDescent="0.35">
      <c r="A72" s="104" t="s">
        <v>186</v>
      </c>
      <c r="B72" s="104" t="s">
        <v>412</v>
      </c>
      <c r="C72" s="105" t="s">
        <v>601</v>
      </c>
      <c r="D72" s="156">
        <v>187</v>
      </c>
      <c r="E72" s="119">
        <v>15</v>
      </c>
      <c r="F72" s="232">
        <f t="shared" si="43"/>
        <v>2805</v>
      </c>
      <c r="G72" s="107"/>
      <c r="H72" s="226"/>
      <c r="I72" s="226">
        <f t="shared" si="44"/>
        <v>2805</v>
      </c>
      <c r="J72" s="226">
        <v>38.43</v>
      </c>
      <c r="K72" s="110"/>
      <c r="L72" s="110"/>
      <c r="M72" s="110"/>
      <c r="N72" s="110"/>
      <c r="O72" s="223">
        <f t="shared" si="41"/>
        <v>38.43</v>
      </c>
      <c r="P72" s="225">
        <f t="shared" si="45"/>
        <v>2766.57</v>
      </c>
      <c r="Q72" s="111"/>
      <c r="R72" s="80"/>
    </row>
    <row r="73" spans="1:18" ht="99.2" customHeight="1" x14ac:dyDescent="0.35">
      <c r="A73" s="104" t="s">
        <v>58</v>
      </c>
      <c r="B73" s="104" t="s">
        <v>412</v>
      </c>
      <c r="C73" s="105" t="s">
        <v>602</v>
      </c>
      <c r="D73" s="156">
        <v>169.73</v>
      </c>
      <c r="E73" s="119">
        <v>15</v>
      </c>
      <c r="F73" s="232">
        <f t="shared" si="43"/>
        <v>2545.9499999999998</v>
      </c>
      <c r="G73" s="107"/>
      <c r="H73" s="226">
        <v>4.75</v>
      </c>
      <c r="I73" s="226">
        <f t="shared" si="44"/>
        <v>2550.6999999999998</v>
      </c>
      <c r="J73" s="226"/>
      <c r="K73" s="110"/>
      <c r="L73" s="110"/>
      <c r="M73" s="110"/>
      <c r="N73" s="110"/>
      <c r="O73" s="223">
        <f t="shared" si="41"/>
        <v>0</v>
      </c>
      <c r="P73" s="224">
        <f t="shared" si="45"/>
        <v>2550.6999999999998</v>
      </c>
      <c r="Q73" s="111"/>
      <c r="R73" s="80"/>
    </row>
    <row r="74" spans="1:18" ht="99.2" customHeight="1" x14ac:dyDescent="0.35">
      <c r="A74" s="104" t="s">
        <v>521</v>
      </c>
      <c r="B74" s="104" t="s">
        <v>412</v>
      </c>
      <c r="C74" s="105" t="s">
        <v>603</v>
      </c>
      <c r="D74" s="156">
        <v>166.93</v>
      </c>
      <c r="E74" s="119">
        <v>15</v>
      </c>
      <c r="F74" s="232">
        <f t="shared" ref="F74" si="47">D74*E74</f>
        <v>2503.9500000000003</v>
      </c>
      <c r="G74" s="107"/>
      <c r="H74" s="226">
        <v>9.32</v>
      </c>
      <c r="I74" s="223">
        <f t="shared" si="44"/>
        <v>2513.2700000000004</v>
      </c>
      <c r="J74" s="226"/>
      <c r="K74" s="110"/>
      <c r="L74" s="110"/>
      <c r="M74" s="110"/>
      <c r="N74" s="110"/>
      <c r="O74" s="226">
        <f t="shared" ref="O74" si="48">J74+K74+L74+N74+M74</f>
        <v>0</v>
      </c>
      <c r="P74" s="225">
        <f t="shared" si="45"/>
        <v>2513.2700000000004</v>
      </c>
      <c r="Q74" s="111"/>
      <c r="R74" s="80"/>
    </row>
    <row r="75" spans="1:18" ht="99.2" customHeight="1" x14ac:dyDescent="0.35">
      <c r="A75" s="104" t="s">
        <v>521</v>
      </c>
      <c r="B75" s="104" t="s">
        <v>412</v>
      </c>
      <c r="C75" s="105" t="s">
        <v>604</v>
      </c>
      <c r="D75" s="156">
        <v>212.53</v>
      </c>
      <c r="E75" s="119">
        <v>15</v>
      </c>
      <c r="F75" s="232">
        <f t="shared" si="43"/>
        <v>3187.95</v>
      </c>
      <c r="G75" s="107"/>
      <c r="H75" s="226"/>
      <c r="I75" s="226">
        <f t="shared" si="44"/>
        <v>3187.95</v>
      </c>
      <c r="J75" s="226">
        <v>100</v>
      </c>
      <c r="K75" s="110"/>
      <c r="L75" s="110"/>
      <c r="M75" s="110"/>
      <c r="N75" s="110"/>
      <c r="O75" s="223">
        <f t="shared" si="41"/>
        <v>100</v>
      </c>
      <c r="P75" s="225">
        <f t="shared" si="45"/>
        <v>3087.95</v>
      </c>
      <c r="Q75" s="111"/>
      <c r="R75" s="80"/>
    </row>
    <row r="76" spans="1:18" ht="99.2" customHeight="1" x14ac:dyDescent="0.35">
      <c r="A76" s="104" t="s">
        <v>186</v>
      </c>
      <c r="B76" s="104" t="s">
        <v>412</v>
      </c>
      <c r="C76" s="105" t="s">
        <v>605</v>
      </c>
      <c r="D76" s="156">
        <v>170.6</v>
      </c>
      <c r="E76" s="119">
        <v>15</v>
      </c>
      <c r="F76" s="232">
        <f t="shared" si="43"/>
        <v>2559</v>
      </c>
      <c r="G76" s="107"/>
      <c r="H76" s="226">
        <v>3.33</v>
      </c>
      <c r="I76" s="226">
        <f t="shared" si="44"/>
        <v>2562.33</v>
      </c>
      <c r="J76" s="226"/>
      <c r="K76" s="110"/>
      <c r="L76" s="110"/>
      <c r="M76" s="110"/>
      <c r="N76" s="110"/>
      <c r="O76" s="223">
        <f t="shared" si="41"/>
        <v>0</v>
      </c>
      <c r="P76" s="224">
        <f t="shared" si="45"/>
        <v>2562.33</v>
      </c>
      <c r="Q76" s="111"/>
      <c r="R76" s="80"/>
    </row>
    <row r="77" spans="1:18" ht="99.2" customHeight="1" x14ac:dyDescent="0.35">
      <c r="A77" s="104" t="s">
        <v>512</v>
      </c>
      <c r="B77" s="104" t="s">
        <v>412</v>
      </c>
      <c r="C77" s="105" t="s">
        <v>606</v>
      </c>
      <c r="D77" s="156">
        <v>229.2</v>
      </c>
      <c r="E77" s="119">
        <v>15</v>
      </c>
      <c r="F77" s="232">
        <f t="shared" si="43"/>
        <v>3438</v>
      </c>
      <c r="G77" s="107"/>
      <c r="H77" s="226"/>
      <c r="I77" s="226">
        <f t="shared" si="44"/>
        <v>3438</v>
      </c>
      <c r="J77" s="226">
        <v>127.55</v>
      </c>
      <c r="K77" s="110"/>
      <c r="L77" s="110"/>
      <c r="M77" s="110"/>
      <c r="N77" s="110"/>
      <c r="O77" s="223">
        <f t="shared" si="41"/>
        <v>127.55</v>
      </c>
      <c r="P77" s="225">
        <f t="shared" si="45"/>
        <v>3310.45</v>
      </c>
      <c r="Q77" s="111"/>
      <c r="R77" s="80"/>
    </row>
    <row r="78" spans="1:18" ht="99.2" customHeight="1" x14ac:dyDescent="0.35">
      <c r="A78" s="104" t="s">
        <v>74</v>
      </c>
      <c r="B78" s="104" t="s">
        <v>412</v>
      </c>
      <c r="C78" s="105" t="s">
        <v>607</v>
      </c>
      <c r="D78" s="156">
        <v>235.73</v>
      </c>
      <c r="E78" s="119">
        <v>15</v>
      </c>
      <c r="F78" s="232">
        <f t="shared" si="43"/>
        <v>3535.95</v>
      </c>
      <c r="G78" s="107"/>
      <c r="H78" s="226"/>
      <c r="I78" s="226">
        <f t="shared" si="44"/>
        <v>3535.95</v>
      </c>
      <c r="J78" s="226">
        <v>155.91999999999999</v>
      </c>
      <c r="K78" s="110"/>
      <c r="L78" s="110"/>
      <c r="M78" s="110"/>
      <c r="N78" s="110"/>
      <c r="O78" s="223">
        <f t="shared" si="41"/>
        <v>155.91999999999999</v>
      </c>
      <c r="P78" s="225">
        <f t="shared" si="45"/>
        <v>3380.0299999999997</v>
      </c>
      <c r="Q78" s="111"/>
      <c r="R78" s="80"/>
    </row>
    <row r="79" spans="1:18" ht="99.2" customHeight="1" x14ac:dyDescent="0.35">
      <c r="A79" s="104" t="s">
        <v>192</v>
      </c>
      <c r="B79" s="104" t="s">
        <v>412</v>
      </c>
      <c r="C79" s="105" t="s">
        <v>608</v>
      </c>
      <c r="D79" s="156">
        <v>178.85</v>
      </c>
      <c r="E79" s="119">
        <v>11</v>
      </c>
      <c r="F79" s="232">
        <f t="shared" si="43"/>
        <v>1967.35</v>
      </c>
      <c r="G79" s="107"/>
      <c r="H79" s="226">
        <v>75.510000000000005</v>
      </c>
      <c r="I79" s="226">
        <f t="shared" si="44"/>
        <v>2042.86</v>
      </c>
      <c r="J79" s="226"/>
      <c r="K79" s="110"/>
      <c r="L79" s="110"/>
      <c r="M79" s="110"/>
      <c r="N79" s="110"/>
      <c r="O79" s="223">
        <f t="shared" si="41"/>
        <v>0</v>
      </c>
      <c r="P79" s="224">
        <f t="shared" si="45"/>
        <v>2042.86</v>
      </c>
      <c r="Q79" s="111"/>
      <c r="R79" s="80"/>
    </row>
    <row r="80" spans="1:18" ht="99.2" customHeight="1" x14ac:dyDescent="0.35">
      <c r="A80" s="104" t="s">
        <v>596</v>
      </c>
      <c r="B80" s="104" t="s">
        <v>412</v>
      </c>
      <c r="C80" s="105" t="s">
        <v>609</v>
      </c>
      <c r="D80" s="156">
        <v>266.13</v>
      </c>
      <c r="E80" s="119">
        <v>15</v>
      </c>
      <c r="F80" s="232">
        <f t="shared" si="43"/>
        <v>3991.95</v>
      </c>
      <c r="G80" s="107"/>
      <c r="H80" s="226"/>
      <c r="I80" s="226">
        <f t="shared" si="44"/>
        <v>3991.95</v>
      </c>
      <c r="J80" s="226">
        <v>312.93</v>
      </c>
      <c r="K80" s="110"/>
      <c r="L80" s="110"/>
      <c r="M80" s="110"/>
      <c r="N80" s="110"/>
      <c r="O80" s="223">
        <f t="shared" si="41"/>
        <v>312.93</v>
      </c>
      <c r="P80" s="225">
        <f t="shared" si="45"/>
        <v>3679.02</v>
      </c>
      <c r="Q80" s="111"/>
      <c r="R80" s="80"/>
    </row>
    <row r="81" spans="1:18" ht="99.2" customHeight="1" x14ac:dyDescent="0.35">
      <c r="A81" s="104" t="s">
        <v>521</v>
      </c>
      <c r="B81" s="104" t="s">
        <v>412</v>
      </c>
      <c r="C81" s="105" t="s">
        <v>610</v>
      </c>
      <c r="D81" s="156">
        <v>260.26</v>
      </c>
      <c r="E81" s="119">
        <v>15</v>
      </c>
      <c r="F81" s="232">
        <f t="shared" si="43"/>
        <v>3903.8999999999996</v>
      </c>
      <c r="G81" s="107"/>
      <c r="H81" s="226"/>
      <c r="I81" s="226">
        <f t="shared" si="44"/>
        <v>3903.8999999999996</v>
      </c>
      <c r="J81" s="226">
        <v>303.35000000000002</v>
      </c>
      <c r="K81" s="110"/>
      <c r="L81" s="110"/>
      <c r="M81" s="110"/>
      <c r="N81" s="110"/>
      <c r="O81" s="223">
        <f t="shared" si="41"/>
        <v>303.35000000000002</v>
      </c>
      <c r="P81" s="225">
        <f t="shared" si="45"/>
        <v>3600.5499999999997</v>
      </c>
      <c r="Q81" s="111"/>
      <c r="R81" s="80"/>
    </row>
    <row r="82" spans="1:18" ht="99.2" customHeight="1" x14ac:dyDescent="0.35">
      <c r="A82" s="104" t="s">
        <v>38</v>
      </c>
      <c r="B82" s="104" t="s">
        <v>80</v>
      </c>
      <c r="C82" s="105" t="s">
        <v>617</v>
      </c>
      <c r="D82" s="156">
        <v>193</v>
      </c>
      <c r="E82" s="119">
        <v>15</v>
      </c>
      <c r="F82" s="232">
        <f t="shared" si="43"/>
        <v>2895</v>
      </c>
      <c r="G82" s="107"/>
      <c r="H82" s="226"/>
      <c r="I82" s="226">
        <f t="shared" si="44"/>
        <v>2895</v>
      </c>
      <c r="J82" s="226">
        <v>48.22</v>
      </c>
      <c r="K82" s="110"/>
      <c r="L82" s="110"/>
      <c r="M82" s="110"/>
      <c r="N82" s="110"/>
      <c r="O82" s="223">
        <f t="shared" si="41"/>
        <v>48.22</v>
      </c>
      <c r="P82" s="224">
        <f t="shared" si="45"/>
        <v>2846.78</v>
      </c>
      <c r="Q82" s="111"/>
      <c r="R82" s="80"/>
    </row>
    <row r="83" spans="1:18" ht="99.2" customHeight="1" x14ac:dyDescent="0.35">
      <c r="A83" s="104" t="s">
        <v>186</v>
      </c>
      <c r="B83" s="104" t="s">
        <v>129</v>
      </c>
      <c r="C83" s="105" t="s">
        <v>611</v>
      </c>
      <c r="D83" s="156">
        <v>267.73</v>
      </c>
      <c r="E83" s="119">
        <v>15</v>
      </c>
      <c r="F83" s="232">
        <f t="shared" si="43"/>
        <v>4015.9500000000003</v>
      </c>
      <c r="G83" s="107"/>
      <c r="H83" s="226"/>
      <c r="I83" s="226">
        <f t="shared" si="44"/>
        <v>4015.9500000000003</v>
      </c>
      <c r="J83" s="226">
        <v>315.54000000000002</v>
      </c>
      <c r="K83" s="110"/>
      <c r="L83" s="110"/>
      <c r="M83" s="110"/>
      <c r="N83" s="110"/>
      <c r="O83" s="223">
        <f t="shared" si="41"/>
        <v>315.54000000000002</v>
      </c>
      <c r="P83" s="225">
        <f t="shared" si="45"/>
        <v>3700.4100000000003</v>
      </c>
      <c r="Q83" s="111"/>
      <c r="R83" s="80"/>
    </row>
    <row r="84" spans="1:18" ht="99.2" customHeight="1" x14ac:dyDescent="0.35">
      <c r="A84" s="104" t="s">
        <v>407</v>
      </c>
      <c r="B84" s="104" t="s">
        <v>412</v>
      </c>
      <c r="C84" s="105" t="s">
        <v>612</v>
      </c>
      <c r="D84" s="156">
        <v>128.11000000000001</v>
      </c>
      <c r="E84" s="119">
        <v>15</v>
      </c>
      <c r="F84" s="232">
        <f>D84*E84</f>
        <v>1921.65</v>
      </c>
      <c r="G84" s="107"/>
      <c r="H84" s="226">
        <v>78.430000000000007</v>
      </c>
      <c r="I84" s="226">
        <f>F84+H84+G84</f>
        <v>2000.0800000000002</v>
      </c>
      <c r="J84" s="226"/>
      <c r="K84" s="110"/>
      <c r="L84" s="110"/>
      <c r="M84" s="110"/>
      <c r="N84" s="110"/>
      <c r="O84" s="223">
        <f t="shared" ref="O84" si="49">J84+K84+L84+N84+M84</f>
        <v>0</v>
      </c>
      <c r="P84" s="224">
        <f t="shared" ref="P84" si="50">I84-O84</f>
        <v>2000.0800000000002</v>
      </c>
      <c r="Q84" s="111"/>
      <c r="R84" s="80"/>
    </row>
    <row r="85" spans="1:18" ht="99.2" customHeight="1" x14ac:dyDescent="0.35">
      <c r="A85" s="104" t="s">
        <v>112</v>
      </c>
      <c r="B85" s="104" t="s">
        <v>412</v>
      </c>
      <c r="C85" s="105" t="s">
        <v>618</v>
      </c>
      <c r="D85" s="156">
        <v>111.73</v>
      </c>
      <c r="E85" s="119">
        <v>15</v>
      </c>
      <c r="F85" s="232">
        <f t="shared" si="43"/>
        <v>1675.95</v>
      </c>
      <c r="G85" s="107"/>
      <c r="H85" s="226"/>
      <c r="I85" s="226">
        <f t="shared" si="44"/>
        <v>1675.95</v>
      </c>
      <c r="J85" s="226">
        <v>75.569999999999993</v>
      </c>
      <c r="K85" s="110"/>
      <c r="L85" s="110"/>
      <c r="M85" s="110"/>
      <c r="N85" s="110"/>
      <c r="O85" s="223">
        <f t="shared" si="41"/>
        <v>75.569999999999993</v>
      </c>
      <c r="P85" s="224">
        <f t="shared" si="45"/>
        <v>1600.38</v>
      </c>
      <c r="Q85" s="111"/>
      <c r="R85" s="80"/>
    </row>
    <row r="86" spans="1:18" ht="99.2" customHeight="1" x14ac:dyDescent="0.35">
      <c r="A86" s="104" t="s">
        <v>112</v>
      </c>
      <c r="B86" s="104" t="s">
        <v>412</v>
      </c>
      <c r="C86" s="105" t="s">
        <v>613</v>
      </c>
      <c r="D86" s="156">
        <v>222.1</v>
      </c>
      <c r="E86" s="119">
        <v>7</v>
      </c>
      <c r="F86" s="232">
        <f t="shared" si="43"/>
        <v>1554.7</v>
      </c>
      <c r="G86" s="107"/>
      <c r="H86" s="226"/>
      <c r="I86" s="226">
        <f t="shared" si="44"/>
        <v>1554.7</v>
      </c>
      <c r="J86" s="226">
        <v>54.12</v>
      </c>
      <c r="K86" s="110"/>
      <c r="L86" s="110"/>
      <c r="M86" s="110"/>
      <c r="N86" s="110"/>
      <c r="O86" s="223">
        <f t="shared" si="41"/>
        <v>54.12</v>
      </c>
      <c r="P86" s="225">
        <f t="shared" si="45"/>
        <v>1500.5800000000002</v>
      </c>
      <c r="Q86" s="111"/>
      <c r="R86" s="80"/>
    </row>
    <row r="87" spans="1:18" ht="99.2" customHeight="1" x14ac:dyDescent="0.35">
      <c r="A87" s="104" t="s">
        <v>162</v>
      </c>
      <c r="B87" s="104" t="s">
        <v>412</v>
      </c>
      <c r="C87" s="105" t="s">
        <v>614</v>
      </c>
      <c r="D87" s="154">
        <v>290.52999999999997</v>
      </c>
      <c r="E87" s="119">
        <v>15</v>
      </c>
      <c r="F87" s="232">
        <f t="shared" ref="F87" si="51">D87*E87</f>
        <v>4357.95</v>
      </c>
      <c r="G87" s="107"/>
      <c r="H87" s="223"/>
      <c r="I87" s="223">
        <f t="shared" ref="I87" si="52">F87+H87+G87</f>
        <v>4357.95</v>
      </c>
      <c r="J87" s="223">
        <v>357.86</v>
      </c>
      <c r="K87" s="106"/>
      <c r="L87" s="106"/>
      <c r="M87" s="106"/>
      <c r="N87" s="106"/>
      <c r="O87" s="226">
        <f t="shared" si="41"/>
        <v>357.86</v>
      </c>
      <c r="P87" s="225">
        <f t="shared" ref="P87" si="53">I87-O87</f>
        <v>4000.0899999999997</v>
      </c>
      <c r="Q87" s="111"/>
      <c r="R87" s="80"/>
    </row>
    <row r="88" spans="1:18" ht="99.2" customHeight="1" x14ac:dyDescent="0.35">
      <c r="A88" s="104" t="s">
        <v>407</v>
      </c>
      <c r="B88" s="104" t="s">
        <v>412</v>
      </c>
      <c r="C88" s="105" t="s">
        <v>615</v>
      </c>
      <c r="D88" s="156">
        <v>242.2</v>
      </c>
      <c r="E88" s="119">
        <v>15</v>
      </c>
      <c r="F88" s="232">
        <f t="shared" si="43"/>
        <v>3633</v>
      </c>
      <c r="G88" s="107"/>
      <c r="H88" s="226"/>
      <c r="I88" s="226">
        <f t="shared" si="44"/>
        <v>3633</v>
      </c>
      <c r="J88" s="226">
        <v>166.47</v>
      </c>
      <c r="K88" s="110"/>
      <c r="L88" s="110"/>
      <c r="M88" s="110"/>
      <c r="N88" s="110"/>
      <c r="O88" s="223">
        <f t="shared" si="41"/>
        <v>166.47</v>
      </c>
      <c r="P88" s="224">
        <f t="shared" si="45"/>
        <v>3466.53</v>
      </c>
      <c r="Q88" s="111"/>
      <c r="R88" s="80"/>
    </row>
    <row r="89" spans="1:18" ht="99.2" customHeight="1" x14ac:dyDescent="0.35">
      <c r="A89" s="104" t="s">
        <v>581</v>
      </c>
      <c r="B89" s="104" t="s">
        <v>412</v>
      </c>
      <c r="C89" s="105" t="s">
        <v>616</v>
      </c>
      <c r="D89" s="156">
        <v>189.53</v>
      </c>
      <c r="E89" s="119">
        <v>15</v>
      </c>
      <c r="F89" s="232">
        <f t="shared" si="43"/>
        <v>2842.95</v>
      </c>
      <c r="G89" s="107"/>
      <c r="H89" s="226"/>
      <c r="I89" s="226">
        <f t="shared" si="44"/>
        <v>2842.95</v>
      </c>
      <c r="J89" s="226">
        <v>42.57</v>
      </c>
      <c r="K89" s="110"/>
      <c r="L89" s="110"/>
      <c r="M89" s="110"/>
      <c r="N89" s="110"/>
      <c r="O89" s="223">
        <f t="shared" si="41"/>
        <v>42.57</v>
      </c>
      <c r="P89" s="225">
        <f t="shared" si="45"/>
        <v>2800.3799999999997</v>
      </c>
      <c r="Q89" s="111"/>
      <c r="R89" s="80"/>
    </row>
    <row r="90" spans="1:18" ht="99.2" customHeight="1" thickBot="1" x14ac:dyDescent="0.4">
      <c r="A90" s="348" t="s">
        <v>438</v>
      </c>
      <c r="B90" s="349"/>
      <c r="C90" s="349"/>
      <c r="D90" s="349"/>
      <c r="E90" s="350"/>
      <c r="F90" s="228">
        <f>SUM(F4:F89)</f>
        <v>284098.60000000015</v>
      </c>
      <c r="G90" s="228">
        <f t="shared" ref="G90:P90" si="54">SUM(G4:G89)</f>
        <v>38857.213400000008</v>
      </c>
      <c r="H90" s="228">
        <f t="shared" si="54"/>
        <v>1118.6000000000001</v>
      </c>
      <c r="I90" s="228">
        <f t="shared" si="54"/>
        <v>324074.41340000019</v>
      </c>
      <c r="J90" s="228">
        <f t="shared" si="54"/>
        <v>14209.47</v>
      </c>
      <c r="K90" s="228">
        <f t="shared" si="54"/>
        <v>534.16125</v>
      </c>
      <c r="L90" s="228">
        <f t="shared" si="54"/>
        <v>0</v>
      </c>
      <c r="M90" s="228">
        <f t="shared" si="54"/>
        <v>1333.3</v>
      </c>
      <c r="N90" s="228">
        <f t="shared" si="54"/>
        <v>804.14400000000001</v>
      </c>
      <c r="O90" s="228">
        <f t="shared" si="54"/>
        <v>16881.075250000005</v>
      </c>
      <c r="P90" s="228">
        <f t="shared" si="54"/>
        <v>307193.33815000003</v>
      </c>
      <c r="Q90" s="113"/>
      <c r="R90" s="80"/>
    </row>
    <row r="91" spans="1:18" ht="93" customHeight="1" x14ac:dyDescent="0.35">
      <c r="A91" s="80"/>
      <c r="B91" s="81"/>
      <c r="C91" s="80"/>
      <c r="D91" s="158"/>
      <c r="E91" s="122"/>
      <c r="F91" s="229"/>
      <c r="G91" s="88"/>
      <c r="H91" s="229"/>
      <c r="I91" s="229"/>
      <c r="J91" s="229"/>
      <c r="K91" s="88"/>
      <c r="L91" s="88"/>
      <c r="M91" s="88"/>
      <c r="N91" s="88"/>
      <c r="O91" s="229"/>
      <c r="P91" s="229"/>
      <c r="Q91" s="80"/>
      <c r="R91" s="80"/>
    </row>
    <row r="92" spans="1:18" x14ac:dyDescent="0.35">
      <c r="A92" s="80"/>
      <c r="B92" s="81"/>
      <c r="C92" s="80"/>
      <c r="D92" s="158"/>
      <c r="E92" s="122"/>
      <c r="F92" s="229"/>
      <c r="G92" s="88"/>
      <c r="H92" s="229"/>
      <c r="I92" s="229"/>
      <c r="J92" s="229"/>
      <c r="K92" s="88"/>
      <c r="L92" s="88"/>
      <c r="M92" s="88"/>
      <c r="N92" s="88"/>
      <c r="O92" s="229"/>
      <c r="P92" s="229"/>
      <c r="Q92" s="80"/>
      <c r="R92" s="80"/>
    </row>
    <row r="93" spans="1:18" x14ac:dyDescent="0.35">
      <c r="A93" s="80"/>
      <c r="B93" s="81"/>
      <c r="C93" s="80"/>
      <c r="D93" s="158"/>
      <c r="E93" s="122"/>
      <c r="F93" s="229"/>
      <c r="G93" s="88"/>
      <c r="H93" s="229"/>
      <c r="I93" s="229"/>
      <c r="J93" s="229"/>
      <c r="K93" s="88"/>
      <c r="L93" s="88"/>
      <c r="M93" s="88"/>
      <c r="N93" s="88"/>
      <c r="O93" s="229"/>
      <c r="P93" s="229"/>
      <c r="Q93" s="80"/>
      <c r="R93" s="80"/>
    </row>
    <row r="94" spans="1:18" x14ac:dyDescent="0.35">
      <c r="A94" s="82"/>
      <c r="B94" s="83"/>
      <c r="C94" s="82"/>
      <c r="D94" s="159"/>
      <c r="E94" s="122"/>
      <c r="F94" s="229"/>
      <c r="G94" s="88"/>
      <c r="H94" s="229"/>
      <c r="I94" s="229"/>
      <c r="J94" s="229"/>
      <c r="K94" s="88"/>
      <c r="L94" s="88"/>
      <c r="M94" s="88"/>
      <c r="N94" s="88"/>
      <c r="O94" s="229"/>
      <c r="P94" s="229"/>
      <c r="Q94" s="80"/>
      <c r="R94" s="80"/>
    </row>
    <row r="95" spans="1:18" x14ac:dyDescent="0.35">
      <c r="A95" s="84"/>
      <c r="B95" s="85"/>
      <c r="C95" s="86"/>
      <c r="D95" s="159"/>
      <c r="E95" s="122"/>
      <c r="F95" s="229"/>
      <c r="G95" s="88"/>
      <c r="H95" s="229"/>
      <c r="I95" s="229"/>
      <c r="J95" s="229"/>
      <c r="K95" s="88"/>
      <c r="L95" s="88"/>
      <c r="M95" s="88"/>
      <c r="N95" s="88"/>
      <c r="O95" s="229"/>
      <c r="P95" s="229"/>
      <c r="Q95" s="80"/>
      <c r="R95" s="80"/>
    </row>
    <row r="96" spans="1:18" x14ac:dyDescent="0.35">
      <c r="A96" s="80"/>
      <c r="B96" s="81"/>
      <c r="C96" s="80"/>
      <c r="D96" s="158"/>
      <c r="E96" s="122"/>
      <c r="F96" s="229"/>
      <c r="G96" s="88"/>
      <c r="H96" s="229"/>
      <c r="I96" s="229"/>
      <c r="J96" s="229"/>
      <c r="K96" s="88"/>
      <c r="L96" s="88"/>
      <c r="M96" s="88"/>
      <c r="N96" s="88"/>
      <c r="O96" s="229"/>
      <c r="P96" s="229"/>
      <c r="Q96" s="80"/>
      <c r="R96" s="80"/>
    </row>
    <row r="97" spans="1:18" x14ac:dyDescent="0.35">
      <c r="A97" s="80"/>
      <c r="B97" s="81"/>
      <c r="C97" s="80"/>
      <c r="D97" s="158"/>
      <c r="E97" s="122"/>
      <c r="F97" s="229"/>
      <c r="G97" s="88"/>
      <c r="H97" s="229"/>
      <c r="I97" s="229"/>
      <c r="J97" s="229"/>
      <c r="K97" s="88"/>
      <c r="L97" s="88"/>
      <c r="M97" s="88"/>
      <c r="N97" s="88"/>
      <c r="O97" s="229"/>
      <c r="P97" s="229"/>
      <c r="Q97" s="80"/>
      <c r="R97" s="80"/>
    </row>
    <row r="98" spans="1:18" x14ac:dyDescent="0.35">
      <c r="A98" s="80"/>
      <c r="B98" s="81"/>
      <c r="C98" s="80"/>
      <c r="D98" s="158"/>
      <c r="E98" s="122"/>
      <c r="F98" s="229"/>
      <c r="G98" s="88"/>
      <c r="H98" s="229"/>
      <c r="I98" s="229"/>
      <c r="J98" s="229"/>
      <c r="K98" s="88"/>
      <c r="L98" s="88"/>
      <c r="M98" s="88"/>
      <c r="N98" s="88"/>
      <c r="O98" s="229"/>
      <c r="P98" s="229"/>
      <c r="Q98" s="80"/>
      <c r="R98" s="80"/>
    </row>
    <row r="99" spans="1:18" x14ac:dyDescent="0.35">
      <c r="A99" s="80"/>
      <c r="B99" s="81"/>
      <c r="C99" s="80"/>
      <c r="D99" s="158"/>
      <c r="E99" s="122"/>
      <c r="F99" s="229"/>
      <c r="G99" s="88"/>
      <c r="H99" s="229"/>
      <c r="I99" s="229"/>
      <c r="J99" s="229"/>
      <c r="K99" s="88"/>
      <c r="L99" s="88"/>
      <c r="M99" s="88"/>
      <c r="N99" s="88"/>
      <c r="O99" s="229"/>
      <c r="P99" s="229"/>
      <c r="Q99" s="80"/>
      <c r="R99" s="80"/>
    </row>
    <row r="100" spans="1:18" x14ac:dyDescent="0.35">
      <c r="A100" s="80"/>
      <c r="B100" s="81"/>
      <c r="C100" s="80"/>
      <c r="D100" s="158"/>
      <c r="E100" s="122"/>
      <c r="F100" s="229"/>
      <c r="G100" s="88"/>
      <c r="H100" s="229"/>
      <c r="I100" s="229"/>
      <c r="J100" s="229"/>
      <c r="K100" s="88"/>
      <c r="L100" s="88"/>
      <c r="M100" s="88"/>
      <c r="N100" s="88"/>
      <c r="O100" s="229"/>
      <c r="P100" s="229"/>
      <c r="Q100" s="80"/>
      <c r="R100" s="80"/>
    </row>
    <row r="101" spans="1:18" x14ac:dyDescent="0.35">
      <c r="A101" s="80"/>
      <c r="B101" s="81"/>
      <c r="C101" s="80"/>
      <c r="D101" s="158"/>
      <c r="E101" s="122"/>
      <c r="F101" s="229"/>
      <c r="G101" s="88"/>
      <c r="H101" s="229"/>
      <c r="I101" s="229"/>
      <c r="J101" s="229"/>
      <c r="K101" s="88"/>
      <c r="L101" s="88"/>
      <c r="M101" s="88"/>
      <c r="N101" s="88"/>
      <c r="O101" s="229"/>
      <c r="P101" s="229"/>
      <c r="Q101" s="80"/>
      <c r="R101" s="80"/>
    </row>
    <row r="102" spans="1:18" x14ac:dyDescent="0.35">
      <c r="A102" s="80"/>
      <c r="B102" s="81"/>
      <c r="C102" s="80"/>
      <c r="D102" s="158"/>
      <c r="E102" s="122"/>
      <c r="F102" s="229"/>
      <c r="G102" s="88"/>
      <c r="H102" s="229"/>
      <c r="I102" s="229"/>
      <c r="J102" s="229"/>
      <c r="K102" s="88"/>
      <c r="L102" s="88"/>
      <c r="M102" s="88"/>
      <c r="N102" s="88"/>
      <c r="O102" s="229"/>
      <c r="P102" s="229"/>
      <c r="Q102" s="80"/>
      <c r="R102" s="80"/>
    </row>
    <row r="103" spans="1:18" x14ac:dyDescent="0.35">
      <c r="A103" s="80"/>
      <c r="B103" s="81"/>
      <c r="C103" s="80"/>
      <c r="D103" s="158"/>
      <c r="E103" s="122"/>
      <c r="F103" s="229"/>
      <c r="G103" s="88"/>
      <c r="H103" s="229"/>
      <c r="I103" s="229"/>
      <c r="J103" s="229"/>
      <c r="K103" s="88"/>
      <c r="L103" s="88"/>
      <c r="M103" s="88"/>
      <c r="N103" s="88"/>
      <c r="O103" s="229"/>
      <c r="P103" s="229"/>
      <c r="Q103" s="80"/>
      <c r="R103" s="80"/>
    </row>
    <row r="104" spans="1:18" x14ac:dyDescent="0.35">
      <c r="A104" s="80"/>
      <c r="B104" s="81"/>
      <c r="C104" s="80"/>
      <c r="D104" s="158"/>
      <c r="E104" s="122"/>
      <c r="F104" s="229"/>
      <c r="G104" s="88"/>
      <c r="H104" s="229"/>
      <c r="I104" s="229"/>
      <c r="J104" s="229"/>
      <c r="K104" s="88"/>
      <c r="L104" s="88"/>
      <c r="M104" s="88"/>
      <c r="N104" s="88"/>
      <c r="O104" s="229"/>
      <c r="P104" s="229"/>
      <c r="Q104" s="80"/>
      <c r="R104" s="80"/>
    </row>
    <row r="105" spans="1:18" x14ac:dyDescent="0.35">
      <c r="A105" s="80"/>
      <c r="B105" s="81"/>
      <c r="C105" s="80"/>
      <c r="D105" s="158"/>
      <c r="E105" s="122"/>
      <c r="F105" s="229"/>
      <c r="G105" s="88"/>
      <c r="H105" s="229"/>
      <c r="I105" s="229"/>
      <c r="J105" s="229"/>
      <c r="K105" s="88"/>
      <c r="L105" s="88"/>
      <c r="M105" s="88"/>
      <c r="N105" s="88"/>
      <c r="O105" s="229"/>
      <c r="P105" s="229"/>
      <c r="Q105" s="80"/>
      <c r="R105" s="80"/>
    </row>
    <row r="106" spans="1:18" x14ac:dyDescent="0.35">
      <c r="A106" s="80"/>
      <c r="B106" s="81"/>
      <c r="C106" s="80"/>
      <c r="D106" s="158"/>
      <c r="E106" s="122"/>
      <c r="F106" s="229"/>
      <c r="G106" s="88"/>
      <c r="H106" s="229"/>
      <c r="I106" s="229"/>
      <c r="J106" s="229"/>
      <c r="K106" s="88"/>
      <c r="L106" s="88"/>
      <c r="M106" s="88"/>
      <c r="N106" s="88"/>
      <c r="O106" s="229"/>
      <c r="P106" s="229"/>
      <c r="Q106" s="80"/>
      <c r="R106" s="80"/>
    </row>
    <row r="107" spans="1:18" x14ac:dyDescent="0.35">
      <c r="A107" s="80"/>
      <c r="B107" s="81"/>
      <c r="C107" s="80"/>
      <c r="D107" s="158"/>
      <c r="E107" s="122"/>
      <c r="F107" s="229"/>
      <c r="G107" s="88"/>
      <c r="H107" s="229"/>
      <c r="I107" s="229"/>
      <c r="J107" s="229"/>
      <c r="K107" s="88"/>
      <c r="L107" s="88"/>
      <c r="M107" s="88"/>
      <c r="N107" s="88"/>
      <c r="O107" s="229"/>
      <c r="P107" s="229"/>
      <c r="Q107" s="80"/>
      <c r="R107" s="80"/>
    </row>
    <row r="108" spans="1:18" x14ac:dyDescent="0.35">
      <c r="A108" s="80"/>
      <c r="B108" s="81"/>
      <c r="C108" s="80"/>
      <c r="D108" s="158"/>
      <c r="E108" s="122"/>
      <c r="F108" s="229"/>
      <c r="G108" s="88"/>
      <c r="H108" s="229"/>
      <c r="I108" s="229"/>
      <c r="J108" s="229"/>
      <c r="K108" s="88"/>
      <c r="L108" s="88"/>
      <c r="M108" s="88"/>
      <c r="N108" s="88"/>
      <c r="O108" s="229"/>
      <c r="P108" s="229"/>
      <c r="Q108" s="80"/>
      <c r="R108" s="80"/>
    </row>
    <row r="109" spans="1:18" x14ac:dyDescent="0.35">
      <c r="A109" s="80"/>
      <c r="B109" s="81"/>
      <c r="C109" s="80"/>
      <c r="D109" s="158"/>
      <c r="E109" s="122"/>
      <c r="F109" s="229"/>
      <c r="G109" s="88"/>
      <c r="H109" s="229"/>
      <c r="I109" s="229"/>
      <c r="J109" s="229"/>
      <c r="K109" s="88"/>
      <c r="L109" s="88"/>
      <c r="M109" s="88"/>
      <c r="N109" s="88"/>
      <c r="O109" s="229"/>
      <c r="P109" s="229"/>
      <c r="Q109" s="80"/>
      <c r="R109" s="80"/>
    </row>
    <row r="110" spans="1:18" x14ac:dyDescent="0.35">
      <c r="A110" s="80"/>
      <c r="B110" s="81"/>
      <c r="C110" s="80"/>
      <c r="D110" s="158"/>
      <c r="E110" s="122"/>
      <c r="F110" s="229"/>
      <c r="G110" s="88"/>
      <c r="H110" s="229"/>
      <c r="I110" s="229"/>
      <c r="J110" s="229"/>
      <c r="K110" s="88"/>
      <c r="L110" s="88"/>
      <c r="M110" s="88"/>
      <c r="N110" s="88"/>
      <c r="O110" s="229"/>
      <c r="P110" s="229"/>
      <c r="Q110" s="80"/>
      <c r="R110" s="80"/>
    </row>
    <row r="111" spans="1:18" x14ac:dyDescent="0.35">
      <c r="A111" s="80"/>
      <c r="B111" s="81"/>
      <c r="C111" s="80"/>
      <c r="D111" s="158"/>
      <c r="E111" s="122"/>
      <c r="F111" s="229"/>
      <c r="G111" s="88"/>
      <c r="H111" s="229"/>
      <c r="I111" s="229"/>
      <c r="J111" s="229"/>
      <c r="K111" s="88"/>
      <c r="L111" s="88"/>
      <c r="M111" s="88"/>
      <c r="N111" s="88"/>
      <c r="O111" s="229"/>
      <c r="P111" s="229"/>
      <c r="Q111" s="80"/>
      <c r="R111" s="80"/>
    </row>
    <row r="112" spans="1:18" x14ac:dyDescent="0.35">
      <c r="A112" s="80"/>
      <c r="B112" s="81"/>
      <c r="C112" s="80"/>
      <c r="D112" s="158"/>
      <c r="E112" s="122"/>
      <c r="F112" s="229"/>
      <c r="G112" s="88"/>
      <c r="H112" s="229"/>
      <c r="I112" s="229"/>
      <c r="J112" s="229"/>
      <c r="K112" s="88"/>
      <c r="L112" s="88"/>
      <c r="M112" s="88"/>
      <c r="N112" s="88"/>
      <c r="O112" s="229"/>
      <c r="P112" s="229"/>
      <c r="Q112" s="80"/>
      <c r="R112" s="80"/>
    </row>
    <row r="113" spans="1:18" x14ac:dyDescent="0.35">
      <c r="A113" s="80"/>
      <c r="B113" s="81"/>
      <c r="C113" s="80"/>
      <c r="D113" s="158"/>
      <c r="E113" s="122"/>
      <c r="F113" s="229"/>
      <c r="G113" s="88"/>
      <c r="H113" s="229"/>
      <c r="I113" s="229"/>
      <c r="J113" s="229"/>
      <c r="K113" s="88"/>
      <c r="L113" s="88"/>
      <c r="M113" s="88"/>
      <c r="N113" s="88"/>
      <c r="O113" s="229"/>
      <c r="P113" s="229"/>
      <c r="Q113" s="80"/>
      <c r="R113" s="80"/>
    </row>
    <row r="114" spans="1:18" x14ac:dyDescent="0.35">
      <c r="A114" s="80"/>
      <c r="B114" s="81"/>
      <c r="C114" s="80"/>
      <c r="D114" s="158"/>
      <c r="E114" s="122"/>
      <c r="F114" s="229"/>
      <c r="G114" s="88"/>
      <c r="H114" s="229"/>
      <c r="I114" s="229"/>
      <c r="J114" s="229"/>
      <c r="K114" s="88"/>
      <c r="L114" s="88"/>
      <c r="M114" s="88"/>
      <c r="N114" s="88"/>
      <c r="O114" s="229"/>
      <c r="P114" s="229"/>
      <c r="Q114" s="80"/>
      <c r="R114" s="80"/>
    </row>
    <row r="115" spans="1:18" x14ac:dyDescent="0.35">
      <c r="A115" s="80"/>
      <c r="B115" s="81"/>
      <c r="C115" s="80"/>
      <c r="D115" s="158"/>
      <c r="E115" s="122"/>
      <c r="F115" s="229"/>
      <c r="G115" s="88"/>
      <c r="H115" s="229"/>
      <c r="I115" s="229"/>
      <c r="J115" s="229"/>
      <c r="K115" s="88"/>
      <c r="L115" s="88"/>
      <c r="M115" s="88"/>
      <c r="N115" s="88"/>
      <c r="O115" s="229"/>
      <c r="P115" s="229"/>
      <c r="Q115" s="80"/>
      <c r="R115" s="80"/>
    </row>
    <row r="116" spans="1:18" x14ac:dyDescent="0.35">
      <c r="A116" s="80"/>
      <c r="B116" s="81"/>
      <c r="C116" s="80"/>
      <c r="D116" s="158"/>
      <c r="E116" s="122"/>
      <c r="F116" s="229"/>
      <c r="G116" s="88"/>
      <c r="H116" s="229"/>
      <c r="I116" s="229"/>
      <c r="J116" s="229"/>
      <c r="K116" s="88"/>
      <c r="L116" s="88"/>
      <c r="M116" s="88"/>
      <c r="N116" s="88"/>
      <c r="O116" s="229"/>
      <c r="P116" s="229"/>
      <c r="Q116" s="80"/>
      <c r="R116" s="80"/>
    </row>
    <row r="117" spans="1:18" x14ac:dyDescent="0.35">
      <c r="A117" s="80"/>
      <c r="B117" s="81"/>
      <c r="C117" s="80"/>
      <c r="D117" s="158"/>
      <c r="E117" s="122"/>
      <c r="F117" s="229"/>
      <c r="G117" s="88"/>
      <c r="H117" s="229"/>
      <c r="I117" s="229"/>
      <c r="J117" s="229"/>
      <c r="K117" s="88"/>
      <c r="L117" s="88"/>
      <c r="M117" s="88"/>
      <c r="N117" s="88"/>
      <c r="O117" s="229"/>
      <c r="P117" s="229"/>
      <c r="Q117" s="80"/>
      <c r="R117" s="80"/>
    </row>
  </sheetData>
  <mergeCells count="9">
    <mergeCell ref="A90:E90"/>
    <mergeCell ref="A1:Q1"/>
    <mergeCell ref="P2:Q2"/>
    <mergeCell ref="D2:I2"/>
    <mergeCell ref="J2:O2"/>
    <mergeCell ref="A2:C2"/>
    <mergeCell ref="A5:A7"/>
    <mergeCell ref="A20:A21"/>
    <mergeCell ref="A22:A31"/>
  </mergeCells>
  <pageMargins left="0.25" right="0.25" top="0.75" bottom="0.75" header="0.3" footer="0.3"/>
  <pageSetup scale="24" fitToHeight="0" orientation="landscape" r:id="rId1"/>
  <headerFooter>
    <oddHeader>&amp;C&amp;"Arial,Negrita"&amp;24MUNICIPIO DE TECALITLAN JALISCO
PORTAL VICTORIA NO.9      RFC:MTE871101HLA     TEL:371-41-8-01-69
NOMINA QUINCENAL EVENTUAL DEL 16 AL 30 DE NOVIEMBRE DEL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view="pageLayout" topLeftCell="A7" zoomScale="60" zoomScaleNormal="70" zoomScalePageLayoutView="60" workbookViewId="0">
      <selection activeCell="H14" sqref="H14"/>
    </sheetView>
  </sheetViews>
  <sheetFormatPr baseColWidth="10" defaultRowHeight="15.75" x14ac:dyDescent="0.25"/>
  <cols>
    <col min="1" max="1" width="13.75" customWidth="1"/>
    <col min="2" max="2" width="16.625" customWidth="1"/>
    <col min="3" max="3" width="15.125" customWidth="1"/>
    <col min="4" max="4" width="13.625" customWidth="1"/>
    <col min="5" max="5" width="14" style="134" customWidth="1"/>
    <col min="6" max="6" width="14.875" style="1" bestFit="1" customWidth="1"/>
    <col min="7" max="7" width="14.625" style="1" customWidth="1"/>
    <col min="8" max="8" width="15.125" style="1" customWidth="1"/>
    <col min="9" max="9" width="14.875" style="1" bestFit="1" customWidth="1"/>
    <col min="10" max="10" width="13.125" style="1" customWidth="1"/>
    <col min="11" max="12" width="13.375" style="1" bestFit="1" customWidth="1"/>
    <col min="13" max="13" width="11.875" style="1" customWidth="1"/>
    <col min="14" max="14" width="17.5" style="1" bestFit="1" customWidth="1"/>
    <col min="15" max="15" width="14.125" style="1" bestFit="1" customWidth="1"/>
    <col min="16" max="16" width="18.625" style="1" customWidth="1"/>
    <col min="17" max="17" width="41.875" customWidth="1"/>
  </cols>
  <sheetData>
    <row r="1" spans="1:17" ht="50.1" customHeight="1" thickBot="1" x14ac:dyDescent="0.3">
      <c r="A1" s="286" t="s">
        <v>454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8"/>
    </row>
    <row r="2" spans="1:17" ht="50.1" customHeight="1" thickBot="1" x14ac:dyDescent="0.35">
      <c r="A2" s="368"/>
      <c r="B2" s="292"/>
      <c r="C2" s="293"/>
      <c r="D2" s="367" t="s">
        <v>414</v>
      </c>
      <c r="E2" s="303"/>
      <c r="F2" s="303"/>
      <c r="G2" s="303"/>
      <c r="H2" s="303"/>
      <c r="I2" s="304"/>
      <c r="J2" s="305" t="s">
        <v>419</v>
      </c>
      <c r="K2" s="306"/>
      <c r="L2" s="306"/>
      <c r="M2" s="306"/>
      <c r="N2" s="306"/>
      <c r="O2" s="307"/>
      <c r="P2" s="308"/>
      <c r="Q2" s="309"/>
    </row>
    <row r="3" spans="1:17" ht="50.1" customHeight="1" x14ac:dyDescent="0.25">
      <c r="A3" s="97" t="s">
        <v>0</v>
      </c>
      <c r="B3" s="98" t="s">
        <v>2</v>
      </c>
      <c r="C3" s="99" t="s">
        <v>3</v>
      </c>
      <c r="D3" s="129" t="s">
        <v>4</v>
      </c>
      <c r="E3" s="130" t="s">
        <v>425</v>
      </c>
      <c r="F3" s="163" t="s">
        <v>417</v>
      </c>
      <c r="G3" s="163" t="s">
        <v>619</v>
      </c>
      <c r="H3" s="163" t="s">
        <v>418</v>
      </c>
      <c r="I3" s="164" t="s">
        <v>421</v>
      </c>
      <c r="J3" s="165" t="s">
        <v>415</v>
      </c>
      <c r="K3" s="163" t="s">
        <v>416</v>
      </c>
      <c r="L3" s="163" t="s">
        <v>432</v>
      </c>
      <c r="M3" s="163" t="s">
        <v>509</v>
      </c>
      <c r="N3" s="163" t="s">
        <v>420</v>
      </c>
      <c r="O3" s="164" t="s">
        <v>422</v>
      </c>
      <c r="P3" s="166" t="s">
        <v>423</v>
      </c>
      <c r="Q3" s="100" t="s">
        <v>424</v>
      </c>
    </row>
    <row r="4" spans="1:17" ht="70.7" customHeight="1" x14ac:dyDescent="0.25">
      <c r="A4" s="244" t="s">
        <v>295</v>
      </c>
      <c r="B4" s="95" t="s">
        <v>37</v>
      </c>
      <c r="C4" s="18" t="s">
        <v>291</v>
      </c>
      <c r="D4" s="101">
        <v>423.02</v>
      </c>
      <c r="E4" s="131">
        <v>15</v>
      </c>
      <c r="F4" s="167">
        <f t="shared" ref="F4:F10" si="0">D4*E4</f>
        <v>6345.2999999999993</v>
      </c>
      <c r="G4" s="167">
        <f>D4*5</f>
        <v>2115.1</v>
      </c>
      <c r="H4" s="168"/>
      <c r="I4" s="168">
        <f>F4+H4+G4</f>
        <v>8460.4</v>
      </c>
      <c r="J4" s="168">
        <v>717.18</v>
      </c>
      <c r="K4" s="168"/>
      <c r="L4" s="168"/>
      <c r="M4" s="168"/>
      <c r="N4" s="168">
        <f>F4*3%</f>
        <v>190.35899999999998</v>
      </c>
      <c r="O4" s="168">
        <f>J4+K4+L4+N4+M4</f>
        <v>907.53899999999999</v>
      </c>
      <c r="P4" s="62">
        <f>I4-O4</f>
        <v>7552.8609999999999</v>
      </c>
      <c r="Q4" s="23"/>
    </row>
    <row r="5" spans="1:17" ht="70.7" customHeight="1" x14ac:dyDescent="0.25">
      <c r="A5" s="268"/>
      <c r="B5" s="95" t="s">
        <v>296</v>
      </c>
      <c r="C5" s="18" t="s">
        <v>298</v>
      </c>
      <c r="D5" s="101">
        <v>211.27</v>
      </c>
      <c r="E5" s="131">
        <v>15</v>
      </c>
      <c r="F5" s="167">
        <f t="shared" si="0"/>
        <v>3169.05</v>
      </c>
      <c r="G5" s="167">
        <f t="shared" ref="G5:G10" si="1">D5*5</f>
        <v>1056.3500000000001</v>
      </c>
      <c r="H5" s="168"/>
      <c r="I5" s="168">
        <f t="shared" ref="I5:I10" si="2">F5+H5+G5</f>
        <v>4225.4000000000005</v>
      </c>
      <c r="J5" s="168">
        <v>98.29</v>
      </c>
      <c r="K5" s="168"/>
      <c r="L5" s="168"/>
      <c r="M5" s="168"/>
      <c r="N5" s="168"/>
      <c r="O5" s="168">
        <f t="shared" ref="O5:O10" si="3">J5+K5+L5+N5+M5</f>
        <v>98.29</v>
      </c>
      <c r="P5" s="62">
        <f t="shared" ref="P5:P10" si="4">I5-O5</f>
        <v>4127.1100000000006</v>
      </c>
      <c r="Q5" s="23"/>
    </row>
    <row r="6" spans="1:17" ht="70.7" customHeight="1" x14ac:dyDescent="0.25">
      <c r="A6" s="268"/>
      <c r="B6" s="95" t="s">
        <v>296</v>
      </c>
      <c r="C6" s="18" t="s">
        <v>299</v>
      </c>
      <c r="D6" s="101">
        <v>211.27</v>
      </c>
      <c r="E6" s="131">
        <v>15</v>
      </c>
      <c r="F6" s="167">
        <f t="shared" si="0"/>
        <v>3169.05</v>
      </c>
      <c r="G6" s="167">
        <f t="shared" si="1"/>
        <v>1056.3500000000001</v>
      </c>
      <c r="H6" s="168"/>
      <c r="I6" s="168">
        <f t="shared" si="2"/>
        <v>4225.4000000000005</v>
      </c>
      <c r="J6" s="168">
        <v>98.29</v>
      </c>
      <c r="K6" s="168"/>
      <c r="L6" s="168"/>
      <c r="M6" s="168"/>
      <c r="N6" s="168"/>
      <c r="O6" s="168">
        <f t="shared" si="3"/>
        <v>98.29</v>
      </c>
      <c r="P6" s="96">
        <f t="shared" si="4"/>
        <v>4127.1100000000006</v>
      </c>
      <c r="Q6" s="23"/>
    </row>
    <row r="7" spans="1:17" ht="70.7" customHeight="1" x14ac:dyDescent="0.25">
      <c r="A7" s="268"/>
      <c r="B7" s="95" t="s">
        <v>301</v>
      </c>
      <c r="C7" s="18" t="s">
        <v>302</v>
      </c>
      <c r="D7" s="101">
        <v>112.49</v>
      </c>
      <c r="E7" s="131">
        <v>15</v>
      </c>
      <c r="F7" s="167">
        <f t="shared" si="0"/>
        <v>1687.35</v>
      </c>
      <c r="G7" s="167">
        <f t="shared" si="1"/>
        <v>562.44999999999993</v>
      </c>
      <c r="H7" s="168">
        <v>105.43</v>
      </c>
      <c r="I7" s="168">
        <f t="shared" si="2"/>
        <v>2355.23</v>
      </c>
      <c r="J7" s="168"/>
      <c r="K7" s="168">
        <f>F7*1.1875%</f>
        <v>20.037281249999999</v>
      </c>
      <c r="L7" s="168"/>
      <c r="M7" s="168"/>
      <c r="N7" s="168"/>
      <c r="O7" s="168">
        <f t="shared" si="3"/>
        <v>20.037281249999999</v>
      </c>
      <c r="P7" s="62">
        <f t="shared" si="4"/>
        <v>2335.19271875</v>
      </c>
      <c r="Q7" s="23"/>
    </row>
    <row r="8" spans="1:17" ht="70.7" customHeight="1" x14ac:dyDescent="0.25">
      <c r="A8" s="268"/>
      <c r="B8" s="95" t="s">
        <v>303</v>
      </c>
      <c r="C8" s="18" t="s">
        <v>304</v>
      </c>
      <c r="D8" s="101">
        <v>146.22999999999999</v>
      </c>
      <c r="E8" s="131">
        <v>15</v>
      </c>
      <c r="F8" s="167">
        <f t="shared" si="0"/>
        <v>2193.4499999999998</v>
      </c>
      <c r="G8" s="167">
        <f t="shared" si="1"/>
        <v>731.15</v>
      </c>
      <c r="H8" s="168">
        <v>47.19</v>
      </c>
      <c r="I8" s="168">
        <f t="shared" si="2"/>
        <v>2971.79</v>
      </c>
      <c r="J8" s="168"/>
      <c r="K8" s="168"/>
      <c r="L8" s="168"/>
      <c r="M8" s="168"/>
      <c r="N8" s="168"/>
      <c r="O8" s="168">
        <f t="shared" si="3"/>
        <v>0</v>
      </c>
      <c r="P8" s="62">
        <f t="shared" si="4"/>
        <v>2971.79</v>
      </c>
      <c r="Q8" s="23"/>
    </row>
    <row r="9" spans="1:17" ht="70.7" customHeight="1" x14ac:dyDescent="0.25">
      <c r="A9" s="268"/>
      <c r="B9" s="95" t="s">
        <v>305</v>
      </c>
      <c r="C9" s="18" t="s">
        <v>306</v>
      </c>
      <c r="D9" s="101">
        <v>208.52</v>
      </c>
      <c r="E9" s="131">
        <v>15</v>
      </c>
      <c r="F9" s="167">
        <f t="shared" si="0"/>
        <v>3127.8</v>
      </c>
      <c r="G9" s="167">
        <f t="shared" si="1"/>
        <v>1042.6000000000001</v>
      </c>
      <c r="H9" s="168"/>
      <c r="I9" s="168">
        <f t="shared" si="2"/>
        <v>4170.4000000000005</v>
      </c>
      <c r="J9" s="168">
        <v>93.8</v>
      </c>
      <c r="K9" s="168">
        <f>F9*1.1875%</f>
        <v>37.142625000000002</v>
      </c>
      <c r="L9" s="168"/>
      <c r="M9" s="168"/>
      <c r="N9" s="168"/>
      <c r="O9" s="168">
        <f t="shared" si="3"/>
        <v>130.94262499999999</v>
      </c>
      <c r="P9" s="62">
        <f t="shared" si="4"/>
        <v>4039.4573750000004</v>
      </c>
      <c r="Q9" s="23"/>
    </row>
    <row r="10" spans="1:17" ht="70.7" customHeight="1" thickBot="1" x14ac:dyDescent="0.3">
      <c r="A10" s="366"/>
      <c r="B10" s="94" t="s">
        <v>307</v>
      </c>
      <c r="C10" s="25" t="s">
        <v>308</v>
      </c>
      <c r="D10" s="102">
        <v>198.43</v>
      </c>
      <c r="E10" s="132">
        <v>15</v>
      </c>
      <c r="F10" s="169">
        <f t="shared" si="0"/>
        <v>2976.4500000000003</v>
      </c>
      <c r="G10" s="167">
        <f t="shared" si="1"/>
        <v>992.15000000000009</v>
      </c>
      <c r="H10" s="170"/>
      <c r="I10" s="168">
        <f t="shared" si="2"/>
        <v>3968.6000000000004</v>
      </c>
      <c r="J10" s="170">
        <v>57.09</v>
      </c>
      <c r="K10" s="170"/>
      <c r="L10" s="170"/>
      <c r="M10" s="170"/>
      <c r="N10" s="170"/>
      <c r="O10" s="168">
        <f t="shared" si="3"/>
        <v>57.09</v>
      </c>
      <c r="P10" s="63">
        <f t="shared" si="4"/>
        <v>3911.51</v>
      </c>
      <c r="Q10" s="23"/>
    </row>
    <row r="11" spans="1:17" ht="50.1" customHeight="1" thickBot="1" x14ac:dyDescent="0.3">
      <c r="A11" s="363" t="s">
        <v>439</v>
      </c>
      <c r="B11" s="364"/>
      <c r="C11" s="364"/>
      <c r="D11" s="364"/>
      <c r="E11" s="365"/>
      <c r="F11" s="171">
        <f>SUM(F4:F10)</f>
        <v>22668.449999999997</v>
      </c>
      <c r="G11" s="171">
        <f t="shared" ref="G11:P11" si="5">SUM(G4:G10)</f>
        <v>7556.15</v>
      </c>
      <c r="H11" s="171">
        <f t="shared" si="5"/>
        <v>152.62</v>
      </c>
      <c r="I11" s="171">
        <f t="shared" si="5"/>
        <v>30377.22</v>
      </c>
      <c r="J11" s="171">
        <f t="shared" si="5"/>
        <v>1064.6499999999999</v>
      </c>
      <c r="K11" s="171">
        <f t="shared" si="5"/>
        <v>57.179906250000002</v>
      </c>
      <c r="L11" s="171">
        <f t="shared" si="5"/>
        <v>0</v>
      </c>
      <c r="M11" s="171">
        <f t="shared" si="5"/>
        <v>0</v>
      </c>
      <c r="N11" s="171">
        <f t="shared" si="5"/>
        <v>190.35899999999998</v>
      </c>
      <c r="O11" s="171">
        <f t="shared" si="5"/>
        <v>1312.1889062499997</v>
      </c>
      <c r="P11" s="171">
        <f t="shared" si="5"/>
        <v>29065.031093750003</v>
      </c>
      <c r="Q11" s="103"/>
    </row>
    <row r="12" spans="1:17" x14ac:dyDescent="0.25">
      <c r="E12" s="133"/>
    </row>
    <row r="13" spans="1:17" x14ac:dyDescent="0.25">
      <c r="E13" s="133"/>
    </row>
    <row r="14" spans="1:17" x14ac:dyDescent="0.25">
      <c r="E14" s="133"/>
    </row>
    <row r="15" spans="1:17" x14ac:dyDescent="0.25">
      <c r="E15" s="133"/>
    </row>
    <row r="16" spans="1:17" x14ac:dyDescent="0.25">
      <c r="E16" s="133"/>
    </row>
    <row r="17" spans="5:13" x14ac:dyDescent="0.25">
      <c r="E17" s="133"/>
    </row>
    <row r="18" spans="5:13" x14ac:dyDescent="0.25">
      <c r="L18" s="2"/>
      <c r="M18" s="2"/>
    </row>
  </sheetData>
  <mergeCells count="7">
    <mergeCell ref="A1:Q1"/>
    <mergeCell ref="A11:E11"/>
    <mergeCell ref="A4:A10"/>
    <mergeCell ref="D2:I2"/>
    <mergeCell ref="J2:O2"/>
    <mergeCell ref="P2:Q2"/>
    <mergeCell ref="A2:C2"/>
  </mergeCells>
  <pageMargins left="0.25" right="0.25" top="0.75" bottom="0.75" header="0.3" footer="0.3"/>
  <pageSetup scale="45" orientation="landscape" r:id="rId1"/>
  <headerFooter>
    <oddHeader>&amp;C&amp;"Arial,Negrita"&amp;14
MUNICIPIO DE TECALITLAN JALISCO
PORTAL VICTORIA NO.9      RFC:MTE871101HLA     TEL:371-41-8-01-69
NOMINA QUINCENAL COMUDE DEL 16 AL 30 DE NOVIEMBRE DEL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EVENTUAL</vt:lpstr>
      <vt:lpstr>COMUDE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JORGE</cp:lastModifiedBy>
  <cp:lastPrinted>2019-11-29T17:36:29Z</cp:lastPrinted>
  <dcterms:created xsi:type="dcterms:W3CDTF">2018-12-24T16:10:45Z</dcterms:created>
  <dcterms:modified xsi:type="dcterms:W3CDTF">2021-07-06T17:32:21Z</dcterms:modified>
</cp:coreProperties>
</file>